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volle\Desktop\"/>
    </mc:Choice>
  </mc:AlternateContent>
  <workbookProtection lockStructure="1"/>
  <bookViews>
    <workbookView xWindow="930" yWindow="0" windowWidth="16815" windowHeight="13980" tabRatio="405"/>
  </bookViews>
  <sheets>
    <sheet name="Okumura_Hata" sheetId="1" r:id="rId1"/>
    <sheet name="Egli" sheetId="2" r:id="rId2"/>
  </sheets>
  <calcPr calcId="152511"/>
</workbook>
</file>

<file path=xl/calcChain.xml><?xml version="1.0" encoding="utf-8"?>
<calcChain xmlns="http://schemas.openxmlformats.org/spreadsheetml/2006/main">
  <c r="H15" i="2" l="1"/>
  <c r="H16" i="2"/>
  <c r="L16" i="2"/>
  <c r="M16" i="2"/>
  <c r="D30" i="2" s="1"/>
  <c r="L30" i="2" s="1"/>
  <c r="D18" i="2"/>
  <c r="I18" i="2"/>
  <c r="I24" i="2" s="1"/>
  <c r="I23" i="2"/>
  <c r="D24" i="2"/>
  <c r="D27" i="2"/>
  <c r="H15" i="1"/>
  <c r="H16" i="1"/>
  <c r="L16" i="1"/>
  <c r="M16" i="1"/>
  <c r="C29" i="1" s="1"/>
  <c r="D18" i="1"/>
  <c r="I18" i="1"/>
  <c r="I24" i="1" s="1"/>
  <c r="B20" i="1"/>
  <c r="M21" i="1"/>
  <c r="I23" i="1"/>
  <c r="D24" i="1"/>
  <c r="M24" i="1"/>
  <c r="C27" i="1"/>
  <c r="H27" i="1"/>
  <c r="C28" i="1"/>
  <c r="D30" i="1"/>
  <c r="E34" i="1" l="1"/>
  <c r="L34" i="1" s="1"/>
  <c r="D51" i="1"/>
  <c r="L51" i="1" s="1"/>
  <c r="E46" i="1"/>
  <c r="L46" i="1" s="1"/>
  <c r="E44" i="1"/>
  <c r="L44" i="1" s="1"/>
  <c r="E39" i="1"/>
  <c r="L39" i="1" s="1"/>
  <c r="E35" i="1"/>
  <c r="D31" i="2"/>
  <c r="D38" i="2"/>
  <c r="L38" i="2" s="1"/>
  <c r="D32" i="2"/>
  <c r="L32" i="2" s="1"/>
  <c r="D52" i="1"/>
  <c r="L52" i="1" s="1"/>
  <c r="D37" i="2"/>
  <c r="L37" i="2" s="1"/>
  <c r="E41" i="1"/>
  <c r="L41" i="1" s="1"/>
  <c r="E36" i="1"/>
  <c r="L36" i="1" s="1"/>
  <c r="E45" i="1"/>
  <c r="E40" i="1"/>
  <c r="I40" i="1" l="1"/>
  <c r="L40" i="1"/>
  <c r="J42" i="1"/>
  <c r="I33" i="2"/>
  <c r="I31" i="2"/>
  <c r="L31" i="2"/>
  <c r="I45" i="1"/>
  <c r="L45" i="1"/>
  <c r="J47" i="1"/>
  <c r="I35" i="1"/>
  <c r="L35" i="1"/>
  <c r="J37" i="1"/>
</calcChain>
</file>

<file path=xl/comments1.xml><?xml version="1.0" encoding="utf-8"?>
<comments xmlns="http://schemas.openxmlformats.org/spreadsheetml/2006/main">
  <authors>
    <author/>
  </authors>
  <commentList>
    <comment ref="D15" authorId="0" shapeId="0">
      <text>
        <r>
          <rPr>
            <b/>
            <sz val="10"/>
            <rFont val="Arial"/>
            <family val="2"/>
          </rPr>
          <t xml:space="preserve">Antenna Gain Factor including cable losses etc.
</t>
        </r>
        <r>
          <rPr>
            <sz val="10"/>
            <rFont val="Arial"/>
            <family val="2"/>
          </rPr>
          <t xml:space="preserve">If you have no clue what to put here, 
these values are realistic:
handheld radios: </t>
        </r>
        <r>
          <rPr>
            <b/>
            <sz val="10"/>
            <rFont val="Arial"/>
            <family val="2"/>
          </rPr>
          <t>-3</t>
        </r>
        <r>
          <rPr>
            <sz val="10"/>
            <rFont val="Arial"/>
            <family val="2"/>
          </rPr>
          <t xml:space="preserve"> 
vehicle mounted stations: </t>
        </r>
        <r>
          <rPr>
            <b/>
            <sz val="10"/>
            <rFont val="Arial"/>
            <family val="2"/>
          </rPr>
          <t>0</t>
        </r>
        <r>
          <rPr>
            <sz val="10"/>
            <rFont val="Arial"/>
            <family val="2"/>
          </rPr>
          <t xml:space="preserve"> 
fixed stations with vertical roof top antenna: </t>
        </r>
        <r>
          <rPr>
            <b/>
            <sz val="10"/>
            <rFont val="Arial"/>
            <family val="2"/>
          </rPr>
          <t>+3</t>
        </r>
        <r>
          <rPr>
            <sz val="10"/>
            <rFont val="Arial"/>
            <family val="2"/>
          </rPr>
          <t xml:space="preserve"> </t>
        </r>
      </text>
    </comment>
    <comment ref="I15" authorId="0" shapeId="0">
      <text>
        <r>
          <rPr>
            <b/>
            <sz val="10"/>
            <rFont val="Arial"/>
            <family val="2"/>
          </rPr>
          <t xml:space="preserve">Antenna Gain Factor including cable losses etc.
</t>
        </r>
        <r>
          <rPr>
            <sz val="10"/>
            <rFont val="Arial"/>
            <family val="2"/>
          </rPr>
          <t xml:space="preserve">If you have no clue what to put here, 
these values are realistic:
handheld radios: </t>
        </r>
        <r>
          <rPr>
            <b/>
            <sz val="10"/>
            <rFont val="Arial"/>
            <family val="2"/>
          </rPr>
          <t>-3</t>
        </r>
        <r>
          <rPr>
            <sz val="10"/>
            <rFont val="Arial"/>
            <family val="2"/>
          </rPr>
          <t xml:space="preserve"> 
vehicle mounted stations: </t>
        </r>
        <r>
          <rPr>
            <b/>
            <sz val="10"/>
            <rFont val="Arial"/>
            <family val="2"/>
          </rPr>
          <t>0</t>
        </r>
        <r>
          <rPr>
            <sz val="10"/>
            <rFont val="Arial"/>
            <family val="2"/>
          </rPr>
          <t xml:space="preserve"> 
fixed stations with vertical roof top antenna: </t>
        </r>
        <r>
          <rPr>
            <b/>
            <sz val="10"/>
            <rFont val="Arial"/>
            <family val="2"/>
          </rPr>
          <t>+3</t>
        </r>
        <r>
          <rPr>
            <sz val="10"/>
            <rFont val="Arial"/>
            <family val="2"/>
          </rPr>
          <t xml:space="preserve"> </t>
        </r>
      </text>
    </comment>
    <comment ref="D16" authorId="0" shapeId="0">
      <text>
        <r>
          <rPr>
            <b/>
            <sz val="10"/>
            <rFont val="Arial"/>
            <family val="2"/>
          </rPr>
          <t xml:space="preserve">Height above ground of the transmitters antenna. 
</t>
        </r>
        <r>
          <rPr>
            <sz val="10"/>
            <rFont val="Arial"/>
            <family val="2"/>
          </rPr>
          <t>Ground level is not necessarily the floor below your antenna, but rather the avarage ground level of the surrounding terrain. For large antennas use the centre of your antenna as the reference point.
This model expects transmitter antenna heights of 
100...660 feet. Using lower heights also works with some degradation. Just make sure the transmitter heigt is higher than the receiver height.</t>
        </r>
      </text>
    </comment>
    <comment ref="I16" authorId="0" shapeId="0">
      <text>
        <r>
          <rPr>
            <b/>
            <sz val="10"/>
            <rFont val="Arial"/>
            <family val="2"/>
          </rPr>
          <t xml:space="preserve">Height above ground of the receiver‘s antenna. 
</t>
        </r>
        <r>
          <rPr>
            <sz val="10"/>
            <rFont val="Arial"/>
            <family val="2"/>
          </rPr>
          <t>Ground level is not necessarily the floor below your antenna, but rather the avarage ground level of the surrounding terrain. For large antennas use the centre of your antenna as the reference point.
This model expects receiver antenna heights of 
3...33 feet. Just make sure the transmitter heigt is higher than the receiver height.</t>
        </r>
      </text>
    </comment>
    <comment ref="D17" authorId="0" shapeId="0">
      <text>
        <r>
          <rPr>
            <b/>
            <sz val="10"/>
            <rFont val="Arial"/>
            <family val="2"/>
          </rPr>
          <t xml:space="preserve">The output power of the transmitter.
</t>
        </r>
        <r>
          <rPr>
            <sz val="10"/>
            <rFont val="Arial"/>
            <family val="2"/>
          </rPr>
          <t>It is safe to include cable losses in the antenna gain field.</t>
        </r>
      </text>
    </comment>
    <comment ref="I17" authorId="0" shapeId="0">
      <text>
        <r>
          <rPr>
            <b/>
            <sz val="10"/>
            <rFont val="Arial"/>
            <family val="2"/>
          </rPr>
          <t xml:space="preserve">Sensitivity of the receiver for the desired SNR, usually 10 or 12 dB.
</t>
        </r>
        <r>
          <rPr>
            <sz val="10"/>
            <rFont val="Arial"/>
            <family val="2"/>
          </rPr>
          <t xml:space="preserve">You find these informations in the spec sheet of your radio. If you have no clue what to put here,  these are common values:
</t>
        </r>
        <r>
          <rPr>
            <b/>
            <sz val="10"/>
            <rFont val="Arial"/>
            <family val="2"/>
          </rPr>
          <t>0,2</t>
        </r>
        <r>
          <rPr>
            <sz val="10"/>
            <rFont val="Arial"/>
            <family val="2"/>
          </rPr>
          <t xml:space="preserve"> µV for VHF/UHF FM radios
</t>
        </r>
        <r>
          <rPr>
            <b/>
            <sz val="10"/>
            <rFont val="Arial"/>
            <family val="2"/>
          </rPr>
          <t>0,1</t>
        </r>
        <r>
          <rPr>
            <sz val="10"/>
            <rFont val="Arial"/>
            <family val="2"/>
          </rPr>
          <t xml:space="preserve"> µV for VHF/UHF SSB/CW radios</t>
        </r>
      </text>
    </comment>
    <comment ref="D23" authorId="0" shapeId="0">
      <text>
        <r>
          <rPr>
            <b/>
            <sz val="10"/>
            <rFont val="Arial"/>
            <family val="2"/>
          </rPr>
          <t xml:space="preserve">The carrier frequency the radio transmission.
</t>
        </r>
        <r>
          <rPr>
            <sz val="10"/>
            <rFont val="Arial"/>
            <family val="2"/>
          </rPr>
          <t>It is sufficient to round off to full MHz. There is no sense in finer resolution.</t>
        </r>
      </text>
    </comment>
    <comment ref="H24" authorId="0" shapeId="0">
      <text>
        <r>
          <rPr>
            <sz val="10"/>
            <rFont val="Arial"/>
            <family val="2"/>
          </rPr>
          <t xml:space="preserve">The </t>
        </r>
        <r>
          <rPr>
            <b/>
            <sz val="10"/>
            <rFont val="Arial"/>
            <family val="2"/>
          </rPr>
          <t>system gain</t>
        </r>
        <r>
          <rPr>
            <sz val="10"/>
            <rFont val="Arial"/>
            <family val="2"/>
          </rPr>
          <t xml:space="preserve"> is the complete signal gain from transmitter to receiver. Given in dB it usually is a negative number because of path loss.</t>
        </r>
      </text>
    </comment>
  </commentList>
</comments>
</file>

<file path=xl/comments2.xml><?xml version="1.0" encoding="utf-8"?>
<comments xmlns="http://schemas.openxmlformats.org/spreadsheetml/2006/main">
  <authors>
    <author/>
  </authors>
  <commentList>
    <comment ref="D15" authorId="0" shapeId="0">
      <text>
        <r>
          <rPr>
            <b/>
            <sz val="10"/>
            <rFont val="Arial"/>
            <family val="2"/>
          </rPr>
          <t xml:space="preserve">Antenna Gain Factor including cable losses etc.
</t>
        </r>
        <r>
          <rPr>
            <sz val="10"/>
            <rFont val="Arial"/>
            <family val="2"/>
          </rPr>
          <t xml:space="preserve">If you have no clue what to put here, 
these values are realistic:
handheld radios: </t>
        </r>
        <r>
          <rPr>
            <b/>
            <sz val="10"/>
            <rFont val="Arial"/>
            <family val="2"/>
          </rPr>
          <t>-3</t>
        </r>
        <r>
          <rPr>
            <sz val="10"/>
            <rFont val="Arial"/>
            <family val="2"/>
          </rPr>
          <t xml:space="preserve"> 
vehicle mounted stations: </t>
        </r>
        <r>
          <rPr>
            <b/>
            <sz val="10"/>
            <rFont val="Arial"/>
            <family val="2"/>
          </rPr>
          <t>0</t>
        </r>
        <r>
          <rPr>
            <sz val="10"/>
            <rFont val="Arial"/>
            <family val="2"/>
          </rPr>
          <t xml:space="preserve"> 
fixed stations with vertical roof top antenna: </t>
        </r>
        <r>
          <rPr>
            <b/>
            <sz val="10"/>
            <rFont val="Arial"/>
            <family val="2"/>
          </rPr>
          <t>+3</t>
        </r>
        <r>
          <rPr>
            <sz val="10"/>
            <rFont val="Arial"/>
            <family val="2"/>
          </rPr>
          <t xml:space="preserve"> </t>
        </r>
      </text>
    </comment>
    <comment ref="I15" authorId="0" shapeId="0">
      <text>
        <r>
          <rPr>
            <b/>
            <sz val="10"/>
            <rFont val="Arial"/>
            <family val="2"/>
          </rPr>
          <t xml:space="preserve">Antenna Gain Factor including cable losses etc.
</t>
        </r>
        <r>
          <rPr>
            <sz val="10"/>
            <rFont val="Arial"/>
            <family val="2"/>
          </rPr>
          <t xml:space="preserve">If you have no clue what to put here, 
these values are realistic:
handheld radios: </t>
        </r>
        <r>
          <rPr>
            <b/>
            <sz val="10"/>
            <rFont val="Arial"/>
            <family val="2"/>
          </rPr>
          <t>-3</t>
        </r>
        <r>
          <rPr>
            <sz val="10"/>
            <rFont val="Arial"/>
            <family val="2"/>
          </rPr>
          <t xml:space="preserve"> 
vehicle mounted stations: </t>
        </r>
        <r>
          <rPr>
            <b/>
            <sz val="10"/>
            <rFont val="Arial"/>
            <family val="2"/>
          </rPr>
          <t>0</t>
        </r>
        <r>
          <rPr>
            <sz val="10"/>
            <rFont val="Arial"/>
            <family val="2"/>
          </rPr>
          <t xml:space="preserve"> 
fixed stations with vertical roof top antenna: </t>
        </r>
        <r>
          <rPr>
            <b/>
            <sz val="10"/>
            <rFont val="Arial"/>
            <family val="2"/>
          </rPr>
          <t>+3</t>
        </r>
        <r>
          <rPr>
            <sz val="10"/>
            <rFont val="Arial"/>
            <family val="2"/>
          </rPr>
          <t xml:space="preserve"> </t>
        </r>
      </text>
    </comment>
    <comment ref="D16" authorId="0" shapeId="0">
      <text>
        <r>
          <rPr>
            <b/>
            <sz val="10"/>
            <rFont val="Arial"/>
            <family val="2"/>
          </rPr>
          <t xml:space="preserve">Height above ground of the transmitters antenna. 
</t>
        </r>
        <r>
          <rPr>
            <sz val="10"/>
            <rFont val="Arial"/>
            <family val="2"/>
          </rPr>
          <t>Ground level is not necessarily the floor below your antenna, but rather the avarage ground level of the surrounding terrain. For large antennas use the centre of your antenna as the reference point.</t>
        </r>
      </text>
    </comment>
    <comment ref="I16" authorId="0" shapeId="0">
      <text>
        <r>
          <rPr>
            <b/>
            <sz val="10"/>
            <rFont val="Arial"/>
            <family val="2"/>
          </rPr>
          <t xml:space="preserve">Height above ground of the receiver‘s antenna. 
</t>
        </r>
        <r>
          <rPr>
            <sz val="10"/>
            <rFont val="Arial"/>
            <family val="2"/>
          </rPr>
          <t>Ground level is not necessarily the floor below your antenna, but rather the avarage ground level of the surrounding terrain. For large antennas use the centre of your antenna as the reference point.</t>
        </r>
      </text>
    </comment>
    <comment ref="D17" authorId="0" shapeId="0">
      <text>
        <r>
          <rPr>
            <b/>
            <sz val="10"/>
            <rFont val="Arial"/>
            <family val="2"/>
          </rPr>
          <t xml:space="preserve">The output power of the transmitter.
</t>
        </r>
        <r>
          <rPr>
            <sz val="10"/>
            <rFont val="Arial"/>
            <family val="2"/>
          </rPr>
          <t>It is safe to include cable losses in the antenna gain field.</t>
        </r>
      </text>
    </comment>
    <comment ref="I17" authorId="0" shapeId="0">
      <text>
        <r>
          <rPr>
            <b/>
            <sz val="10"/>
            <rFont val="Arial"/>
            <family val="2"/>
          </rPr>
          <t xml:space="preserve">Sensitivity of the receiver for the desired SNR, usually 10 or 12 dB.
</t>
        </r>
        <r>
          <rPr>
            <sz val="10"/>
            <rFont val="Arial"/>
            <family val="2"/>
          </rPr>
          <t xml:space="preserve">You find these informations in the spec sheet of your radio. If you have no clue what to put here,  these are common values:
</t>
        </r>
        <r>
          <rPr>
            <b/>
            <sz val="10"/>
            <rFont val="Arial"/>
            <family val="2"/>
          </rPr>
          <t>0,2</t>
        </r>
        <r>
          <rPr>
            <sz val="10"/>
            <rFont val="Arial"/>
            <family val="2"/>
          </rPr>
          <t xml:space="preserve"> µV for VHF/UHF FM radios
</t>
        </r>
        <r>
          <rPr>
            <b/>
            <sz val="10"/>
            <rFont val="Arial"/>
            <family val="2"/>
          </rPr>
          <t>0,1</t>
        </r>
        <r>
          <rPr>
            <sz val="10"/>
            <rFont val="Arial"/>
            <family val="2"/>
          </rPr>
          <t xml:space="preserve"> µV for VHF/UHF SSB/CW radios</t>
        </r>
      </text>
    </comment>
    <comment ref="D23" authorId="0" shapeId="0">
      <text>
        <r>
          <rPr>
            <b/>
            <sz val="10"/>
            <rFont val="Arial"/>
            <family val="2"/>
          </rPr>
          <t xml:space="preserve">The carrier frequency of the radio transmission.
</t>
        </r>
        <r>
          <rPr>
            <sz val="10"/>
            <rFont val="Arial"/>
            <family val="2"/>
          </rPr>
          <t>It is sufficient to round off to full MHz. There is no sense in finer resolution.</t>
        </r>
      </text>
    </comment>
    <comment ref="H24" authorId="0" shapeId="0">
      <text>
        <r>
          <rPr>
            <sz val="10"/>
            <rFont val="Arial"/>
            <family val="2"/>
          </rPr>
          <t xml:space="preserve">The </t>
        </r>
        <r>
          <rPr>
            <b/>
            <sz val="10"/>
            <rFont val="Arial"/>
            <family val="2"/>
          </rPr>
          <t>system gain</t>
        </r>
        <r>
          <rPr>
            <sz val="10"/>
            <rFont val="Arial"/>
            <family val="2"/>
          </rPr>
          <t xml:space="preserve"> is the complete signal gain from transmitter to receiver. Given in dB it usually is a negative number because of path loss.</t>
        </r>
      </text>
    </comment>
  </commentList>
</comments>
</file>

<file path=xl/sharedStrings.xml><?xml version="1.0" encoding="utf-8"?>
<sst xmlns="http://schemas.openxmlformats.org/spreadsheetml/2006/main" count="121" uniqueCount="60">
  <si>
    <t>VHF/UHF radio range estimation with the Okumura-Hata-Model</t>
  </si>
  <si>
    <t>In 1968 Dr. Yoshihisha Okumura investigated radio propagation effects. He performed extensive measurements in and around the city of Tokyo, Japan. In 1980 an engineer named Masaharu Hata created a convenient set of formulas to fit Okumura's data. The model is called Okumura-Hata Model since. Their work is fundamental to many modern propagation models widely used for cellphone network planing.
The Okumura-Hata model estimates the path loss for frequencies of roughly 150 MHz to 1500 MHz at ranges of up to 12 miles. It supports four classes of terrain, three of which are covered here. The model cannot predict the effect of large obstacles like hills and mountains. It assumes a fairly flat country without hills and mountains and principally free-standing antennas. The results are median values. Real world values may deviate significantly from the calculated values.
This sheet calculates the radio range of a given pair of transmitter and receiver. To clearly show the statistical nature of the results, also a range of expected deviation is estimated. 
Please use the tabs at the bottom to switch between different sheets and different models!</t>
  </si>
  <si>
    <r>
      <t xml:space="preserve">IMPORTANT NOTICE:
</t>
    </r>
    <r>
      <rPr>
        <sz val="8"/>
        <color indexed="62"/>
        <rFont val="Arial"/>
        <family val="2"/>
      </rPr>
      <t xml:space="preserve">I created this file for amateur use and for fun only. You may use this sheet at your own risk. Computer files may contain viruses. This file may not run on some computers. The calculations in this file may contain errors and results may be incorrect. I do not guarantee correct function of this file and its contents. Any commercial use of this file, its calculation procedures or its calculation results is prohibited. Any modification, selling or publishing of this file and its contents is prohibited. (Christian Volle, DL7AYD, 10.08.2013) </t>
    </r>
  </si>
  <si>
    <t xml:space="preserve"> Transmitter</t>
  </si>
  <si>
    <t>Receiver</t>
  </si>
  <si>
    <t xml:space="preserve">Antenna Gain: </t>
  </si>
  <si>
    <t>dBi</t>
  </si>
  <si>
    <t>meter</t>
  </si>
  <si>
    <t xml:space="preserve">Antenna Height: </t>
  </si>
  <si>
    <t>ft.</t>
  </si>
  <si>
    <t xml:space="preserve">Transmit Power: </t>
  </si>
  <si>
    <t>Watt</t>
  </si>
  <si>
    <t xml:space="preserve">Sensitivity: </t>
  </si>
  <si>
    <t>µV</t>
  </si>
  <si>
    <t>dBm</t>
  </si>
  <si>
    <t>feet</t>
  </si>
  <si>
    <t>Radio Link</t>
  </si>
  <si>
    <t xml:space="preserve">Frequency: </t>
  </si>
  <si>
    <t>MHz</t>
  </si>
  <si>
    <t>Wavelength:</t>
  </si>
  <si>
    <t>m</t>
  </si>
  <si>
    <t>km</t>
  </si>
  <si>
    <t>miles</t>
  </si>
  <si>
    <t>System Gain:</t>
  </si>
  <si>
    <t>dB</t>
  </si>
  <si>
    <t>Ch1 =</t>
  </si>
  <si>
    <t>1&lt;h&lt;10</t>
  </si>
  <si>
    <t>Ch =</t>
  </si>
  <si>
    <t>Ch2 =</t>
  </si>
  <si>
    <t>h&gt;10, 150&lt;f&lt;200</t>
  </si>
  <si>
    <t>Ch3 =</t>
  </si>
  <si>
    <t>h&gt;10, 200&lt;f&lt;1500</t>
  </si>
  <si>
    <t>Geländefaktor</t>
  </si>
  <si>
    <t xml:space="preserve">dB </t>
  </si>
  <si>
    <t>für die Berechnung des Streubereiches</t>
  </si>
  <si>
    <t>Radio Range (Okumura-Hata Model)</t>
  </si>
  <si>
    <t>Urban Terrain</t>
  </si>
  <si>
    <t>Cities with close and tall houses of two 
or three storeys, average bulding 
height &lt; 50 ft., villages with close houses 
and many tall trees.</t>
  </si>
  <si>
    <t>mi.</t>
  </si>
  <si>
    <t>in 10% of cases</t>
  </si>
  <si>
    <t>in 50% of cases (Median)</t>
  </si>
  <si>
    <t>in 90% of cases</t>
  </si>
  <si>
    <t>Suburban Terrain</t>
  </si>
  <si>
    <t>Villages, trees and houses, streets and highways with vehicles, some obstacles near the antenna but not congested.</t>
  </si>
  <si>
    <t>Open Rural Terrain</t>
  </si>
  <si>
    <t>No tall trees or buildings, 200...400 yd.
uncluttered line of sight,
 e.g. farmland, grassland</t>
  </si>
  <si>
    <t>Radio Range (Physical Models)</t>
  </si>
  <si>
    <t>„Plane Earth“ Range:</t>
  </si>
  <si>
    <t>(theoretical radio range across plane earth)</t>
  </si>
  <si>
    <t>„Free Space“ Range:</t>
  </si>
  <si>
    <t>(undisturbed propagation through free space)</t>
  </si>
  <si>
    <t>References:
[1] Curt Levis, Joel Johnson, Fernando Teixeira: Radiowave Propagation (John Wiley &amp; Sons, 2010)
[2] G. Mönich: Antennen und WellenausbreitungTeil I und II (lecture notes, TU Berlin, 2000)
[3] Yoshihisha Okumura: Field Strength and its Variability in VHF and UHF Land-Mobile Radio Service (Rev. Elec. Comm. Lab. No.9-10pp. 825-873, 1968)
[4] Masaharu Hata: Empirical Formula for Propagation Loss in Land Mobile Radio Services (IEEE Trans. Vehicular Technology, VT-29, pp. 317-325, 1980)
[5] Jean-Paul Linnartz: Wireless Communication (Internet, 2006,http://www.wirelesscommunication.nl/reference/contents.htm)</t>
  </si>
  <si>
    <t>VHF/UHF Radio Range Estimation with Egli‘s Model</t>
  </si>
  <si>
    <t>In 1957 a radio engineer called John Egli investigated radio propagation effects. He performed extensive signal strength measurements of VHF/UHF transmitters in New Jersey, USA. He found a simple frequency dependent correction factor to supplement the theoretical plane earth model to fit his measurements. The model alows to estimate path losses in a simple way and covers a frequency range from 40 MHz to 1 GHz. It assumes a terrain similar to plane earth, but gently rolling with everange hill height of 50 ft., low vegetation and no obstructions. In professional radio applications this model has been used for long range network planing. The results are median values. Real world values may deviate significantly from the calculated values.
This sheet calculates the radio range of a given pair of transmitter and receiver out of the path loss. To clearly show the statistical nature of the results, also a range of expected deviation is estimated in the way Egli proposed it.
Please use the tabs at the bottom to switch between different sheets and different models!</t>
  </si>
  <si>
    <t>mtr.</t>
  </si>
  <si>
    <t>Egli Terrain factor</t>
  </si>
  <si>
    <t>for 90% / 10%</t>
  </si>
  <si>
    <t>Radio Range (Egli‘s Model)</t>
  </si>
  <si>
    <r>
      <t xml:space="preserve">irregular terrain
</t>
    </r>
    <r>
      <rPr>
        <sz val="8"/>
        <color indexed="59"/>
        <rFont val="Arial"/>
        <family val="2"/>
      </rPr>
      <t>gently rolling, low vegetation, 
no obstructions</t>
    </r>
  </si>
  <si>
    <t xml:space="preserve">References:
[1] Curt Levis, Joel Johnson, Fernando Teixeira: Radiowave Propagation (John Wiley &amp; Sons, 2010)
[2] G. Mönich: Antennen und WellenausbreitungTeil I und II (lecture notes, TU Berlin, 2000)
[3] John Egli: Radio Propagation above 40 MC over Irregular Terrain (Proceedings of the IRE (IEEE) 45 (10): 1383-1391, Oct. 1957)
[4] Jean-Paul Linnartz: Wireless Communication (Internet, 2006,http://www.wirelesscommunication.nl/reference/contents.htm)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</si>
</sst>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0"/>
      <name val="Arial"/>
      <family val="2"/>
    </font>
    <font>
      <sz val="10"/>
      <color indexed="10"/>
      <name val="Arial"/>
      <family val="2"/>
    </font>
    <font>
      <b/>
      <sz val="12"/>
      <color indexed="62"/>
      <name val="Arial"/>
      <family val="2"/>
    </font>
    <font>
      <sz val="8"/>
      <color indexed="62"/>
      <name val="Arial"/>
      <family val="2"/>
    </font>
    <font>
      <b/>
      <sz val="8"/>
      <color indexed="62"/>
      <name val="Arial"/>
      <family val="2"/>
    </font>
    <font>
      <b/>
      <sz val="11"/>
      <color indexed="62"/>
      <name val="Arial"/>
      <family val="2"/>
    </font>
    <font>
      <b/>
      <sz val="11"/>
      <name val="Arial"/>
      <family val="2"/>
    </font>
    <font>
      <sz val="10"/>
      <color indexed="59"/>
      <name val="Arial"/>
      <family val="2"/>
    </font>
    <font>
      <sz val="10"/>
      <color indexed="12"/>
      <name val="Arial"/>
      <family val="2"/>
    </font>
    <font>
      <b/>
      <sz val="10"/>
      <name val="Arial"/>
      <family val="2"/>
    </font>
    <font>
      <sz val="9"/>
      <name val="Arial"/>
      <family val="2"/>
    </font>
    <font>
      <b/>
      <sz val="11"/>
      <color indexed="59"/>
      <name val="Arial"/>
      <family val="2"/>
    </font>
    <font>
      <sz val="8"/>
      <color indexed="59"/>
      <name val="Arial"/>
      <family val="2"/>
    </font>
    <font>
      <b/>
      <sz val="10"/>
      <color indexed="59"/>
      <name val="Arial"/>
      <family val="2"/>
    </font>
    <font>
      <b/>
      <sz val="10"/>
      <color indexed="54"/>
      <name val="Arial"/>
      <family val="2"/>
    </font>
    <font>
      <sz val="10"/>
      <color indexed="54"/>
      <name val="Arial"/>
      <family val="2"/>
    </font>
    <font>
      <sz val="6"/>
      <name val="Arial"/>
      <family val="2"/>
    </font>
    <font>
      <sz val="10"/>
      <color indexed="25"/>
      <name val="Arial"/>
      <family val="2"/>
    </font>
  </fonts>
  <fills count="5">
    <fill>
      <patternFill patternType="none"/>
    </fill>
    <fill>
      <patternFill patternType="gray125"/>
    </fill>
    <fill>
      <patternFill patternType="solid">
        <fgColor indexed="22"/>
        <bgColor indexed="31"/>
      </patternFill>
    </fill>
    <fill>
      <patternFill patternType="solid">
        <fgColor indexed="24"/>
        <bgColor indexed="55"/>
      </patternFill>
    </fill>
    <fill>
      <patternFill patternType="solid">
        <fgColor indexed="31"/>
        <bgColor indexed="22"/>
      </patternFill>
    </fill>
  </fills>
  <borders count="3">
    <border>
      <left/>
      <right/>
      <top/>
      <bottom/>
      <diagonal/>
    </border>
    <border>
      <left/>
      <right/>
      <top style="thin">
        <color indexed="31"/>
      </top>
      <bottom style="thin">
        <color indexed="31"/>
      </bottom>
      <diagonal/>
    </border>
    <border>
      <left/>
      <right/>
      <top style="thin">
        <color theme="0" tint="-0.499984740745262"/>
      </top>
      <bottom style="thin">
        <color theme="0" tint="-0.499984740745262"/>
      </bottom>
      <diagonal/>
    </border>
  </borders>
  <cellStyleXfs count="2">
    <xf numFmtId="0" fontId="0" fillId="0" borderId="0"/>
    <xf numFmtId="0" fontId="1" fillId="0" borderId="0" applyNumberFormat="0" applyFill="0" applyBorder="0" applyAlignment="0" applyProtection="0"/>
  </cellStyleXfs>
  <cellXfs count="62">
    <xf numFmtId="0" fontId="0" fillId="0" borderId="0" xfId="0"/>
    <xf numFmtId="0" fontId="0" fillId="0" borderId="0" xfId="0" applyAlignment="1">
      <alignment horizontal="right"/>
    </xf>
    <xf numFmtId="0" fontId="0" fillId="2" borderId="0" xfId="0" applyFill="1" applyProtection="1">
      <protection hidden="1"/>
    </xf>
    <xf numFmtId="0" fontId="0" fillId="2" borderId="0" xfId="0" applyFill="1" applyAlignment="1" applyProtection="1">
      <alignment horizontal="right"/>
      <protection hidden="1"/>
    </xf>
    <xf numFmtId="0" fontId="2" fillId="2" borderId="0" xfId="0" applyFont="1" applyFill="1" applyProtection="1">
      <protection hidden="1"/>
    </xf>
    <xf numFmtId="0" fontId="5" fillId="3" borderId="0" xfId="0" applyFont="1" applyFill="1" applyBorder="1" applyProtection="1">
      <protection hidden="1"/>
    </xf>
    <xf numFmtId="0" fontId="0" fillId="3" borderId="0" xfId="0" applyFill="1" applyBorder="1" applyProtection="1">
      <protection hidden="1"/>
    </xf>
    <xf numFmtId="0" fontId="6" fillId="4" borderId="0" xfId="0" applyFont="1" applyFill="1" applyBorder="1" applyProtection="1">
      <protection hidden="1"/>
    </xf>
    <xf numFmtId="0" fontId="0" fillId="4" borderId="0" xfId="0" applyFill="1" applyBorder="1" applyProtection="1">
      <protection hidden="1"/>
    </xf>
    <xf numFmtId="0" fontId="7" fillId="4" borderId="0" xfId="0" applyFont="1" applyFill="1" applyAlignment="1" applyProtection="1">
      <alignment horizontal="right"/>
      <protection hidden="1"/>
    </xf>
    <xf numFmtId="164" fontId="8" fillId="0" borderId="0" xfId="0" applyNumberFormat="1" applyFont="1" applyFill="1" applyAlignment="1" applyProtection="1">
      <alignment horizontal="center"/>
      <protection locked="0" hidden="1"/>
    </xf>
    <xf numFmtId="0" fontId="7" fillId="4" borderId="0" xfId="0" applyFont="1" applyFill="1" applyBorder="1" applyProtection="1">
      <protection hidden="1"/>
    </xf>
    <xf numFmtId="164" fontId="8" fillId="0" borderId="1" xfId="0" applyNumberFormat="1" applyFont="1" applyFill="1" applyBorder="1" applyAlignment="1" applyProtection="1">
      <alignment horizontal="center"/>
      <protection locked="0" hidden="1"/>
    </xf>
    <xf numFmtId="2" fontId="8" fillId="0" borderId="0" xfId="0" applyNumberFormat="1" applyFont="1" applyFill="1" applyAlignment="1" applyProtection="1">
      <alignment horizontal="center"/>
      <protection locked="0" hidden="1"/>
    </xf>
    <xf numFmtId="164" fontId="7" fillId="4" borderId="0" xfId="0" applyNumberFormat="1" applyFont="1" applyFill="1" applyBorder="1" applyAlignment="1" applyProtection="1">
      <alignment horizontal="center"/>
      <protection hidden="1"/>
    </xf>
    <xf numFmtId="0" fontId="11" fillId="4" borderId="0" xfId="0" applyFont="1" applyFill="1" applyBorder="1" applyProtection="1">
      <protection hidden="1"/>
    </xf>
    <xf numFmtId="1" fontId="8" fillId="0" borderId="0" xfId="0" applyNumberFormat="1" applyFont="1" applyFill="1" applyAlignment="1" applyProtection="1">
      <alignment horizontal="center"/>
      <protection locked="0" hidden="1"/>
    </xf>
    <xf numFmtId="0" fontId="7" fillId="4" borderId="0" xfId="0" applyFont="1" applyFill="1" applyProtection="1">
      <protection hidden="1"/>
    </xf>
    <xf numFmtId="2" fontId="7" fillId="4" borderId="0" xfId="0" applyNumberFormat="1" applyFont="1" applyFill="1" applyProtection="1">
      <protection hidden="1"/>
    </xf>
    <xf numFmtId="0" fontId="1" fillId="4" borderId="0" xfId="0" applyFont="1" applyFill="1" applyBorder="1" applyAlignment="1" applyProtection="1">
      <alignment horizontal="center"/>
      <protection hidden="1"/>
    </xf>
    <xf numFmtId="0" fontId="7" fillId="4" borderId="0" xfId="0" applyFont="1" applyFill="1" applyBorder="1" applyAlignment="1" applyProtection="1">
      <alignment horizontal="right"/>
      <protection hidden="1"/>
    </xf>
    <xf numFmtId="164" fontId="7" fillId="4" borderId="0" xfId="0" applyNumberFormat="1" applyFont="1" applyFill="1" applyBorder="1" applyProtection="1">
      <protection hidden="1"/>
    </xf>
    <xf numFmtId="11" fontId="0" fillId="2" borderId="0" xfId="0" applyNumberFormat="1" applyFill="1" applyProtection="1">
      <protection hidden="1"/>
    </xf>
    <xf numFmtId="0" fontId="0" fillId="2" borderId="0" xfId="0" applyFont="1" applyFill="1" applyProtection="1">
      <protection hidden="1"/>
    </xf>
    <xf numFmtId="0" fontId="0" fillId="2" borderId="0" xfId="0" applyFont="1" applyFill="1" applyAlignment="1" applyProtection="1">
      <alignment horizontal="left"/>
      <protection hidden="1"/>
    </xf>
    <xf numFmtId="11" fontId="0" fillId="2" borderId="0" xfId="0" applyNumberFormat="1" applyFont="1" applyFill="1" applyAlignment="1" applyProtection="1">
      <alignment horizontal="right"/>
      <protection hidden="1"/>
    </xf>
    <xf numFmtId="164" fontId="0" fillId="2" borderId="0" xfId="0" applyNumberFormat="1" applyFont="1" applyFill="1" applyAlignment="1" applyProtection="1">
      <alignment horizontal="center"/>
      <protection hidden="1"/>
    </xf>
    <xf numFmtId="0" fontId="0" fillId="3" borderId="0" xfId="0" applyFont="1" applyFill="1" applyBorder="1" applyProtection="1">
      <protection hidden="1"/>
    </xf>
    <xf numFmtId="0" fontId="0" fillId="4" borderId="0" xfId="0" applyFill="1" applyProtection="1">
      <protection hidden="1"/>
    </xf>
    <xf numFmtId="164" fontId="13" fillId="4" borderId="0" xfId="0" applyNumberFormat="1" applyFont="1" applyFill="1" applyAlignment="1" applyProtection="1">
      <alignment horizontal="center"/>
      <protection hidden="1"/>
    </xf>
    <xf numFmtId="0" fontId="13" fillId="4" borderId="0" xfId="0" applyFont="1" applyFill="1" applyProtection="1">
      <protection hidden="1"/>
    </xf>
    <xf numFmtId="10" fontId="7" fillId="4" borderId="0" xfId="0" applyNumberFormat="1" applyFont="1" applyFill="1" applyProtection="1">
      <protection hidden="1"/>
    </xf>
    <xf numFmtId="0" fontId="1" fillId="4" borderId="0" xfId="0" applyFont="1" applyFill="1" applyAlignment="1" applyProtection="1">
      <alignment horizontal="center"/>
      <protection hidden="1"/>
    </xf>
    <xf numFmtId="164" fontId="0" fillId="2" borderId="0" xfId="0" applyNumberFormat="1" applyFill="1" applyAlignment="1" applyProtection="1">
      <alignment horizontal="right"/>
      <protection hidden="1"/>
    </xf>
    <xf numFmtId="0" fontId="1" fillId="4" borderId="0" xfId="0" applyFont="1" applyFill="1" applyAlignment="1" applyProtection="1">
      <alignment horizontal="left"/>
      <protection hidden="1"/>
    </xf>
    <xf numFmtId="0" fontId="1" fillId="4" borderId="0" xfId="0" applyFont="1" applyFill="1" applyBorder="1" applyAlignment="1" applyProtection="1">
      <alignment horizontal="right"/>
      <protection hidden="1"/>
    </xf>
    <xf numFmtId="0" fontId="7" fillId="4" borderId="0" xfId="0" applyFont="1" applyFill="1" applyBorder="1" applyAlignment="1" applyProtection="1">
      <alignment horizontal="center" vertical="top" wrapText="1"/>
      <protection hidden="1"/>
    </xf>
    <xf numFmtId="0" fontId="0" fillId="4" borderId="0" xfId="0" applyFont="1" applyFill="1" applyBorder="1" applyProtection="1">
      <protection hidden="1"/>
    </xf>
    <xf numFmtId="0" fontId="0" fillId="2" borderId="0" xfId="0" applyFont="1" applyFill="1" applyAlignment="1" applyProtection="1">
      <alignment horizontal="right"/>
      <protection hidden="1"/>
    </xf>
    <xf numFmtId="0" fontId="7" fillId="4" borderId="0" xfId="0" applyFont="1" applyFill="1" applyAlignment="1" applyProtection="1">
      <alignment horizontal="center" vertical="top" wrapText="1"/>
      <protection hidden="1"/>
    </xf>
    <xf numFmtId="0" fontId="7" fillId="4" borderId="0" xfId="0" applyFont="1" applyFill="1" applyAlignment="1">
      <alignment horizontal="center" vertical="top" wrapText="1"/>
    </xf>
    <xf numFmtId="164" fontId="0" fillId="2" borderId="0" xfId="0" applyNumberFormat="1" applyFont="1" applyFill="1" applyAlignment="1" applyProtection="1">
      <alignment horizontal="right"/>
      <protection hidden="1"/>
    </xf>
    <xf numFmtId="164" fontId="13" fillId="4" borderId="0" xfId="0" applyNumberFormat="1" applyFont="1" applyFill="1" applyBorder="1" applyAlignment="1" applyProtection="1">
      <alignment horizontal="center"/>
      <protection hidden="1"/>
    </xf>
    <xf numFmtId="0" fontId="13" fillId="4" borderId="0" xfId="0" applyFont="1" applyFill="1" applyBorder="1" applyProtection="1">
      <protection hidden="1"/>
    </xf>
    <xf numFmtId="1" fontId="13" fillId="4" borderId="0" xfId="0" applyNumberFormat="1" applyFont="1" applyFill="1" applyBorder="1" applyAlignment="1" applyProtection="1">
      <alignment horizontal="center"/>
      <protection hidden="1"/>
    </xf>
    <xf numFmtId="0" fontId="7" fillId="2" borderId="0" xfId="0" applyFont="1" applyFill="1" applyProtection="1">
      <protection hidden="1"/>
    </xf>
    <xf numFmtId="165" fontId="0" fillId="2" borderId="0" xfId="0" applyNumberFormat="1" applyFill="1" applyAlignment="1" applyProtection="1">
      <alignment horizontal="right"/>
      <protection hidden="1"/>
    </xf>
    <xf numFmtId="0" fontId="1" fillId="4" borderId="0" xfId="0" applyFont="1" applyFill="1" applyAlignment="1" applyProtection="1">
      <alignment horizontal="right"/>
      <protection hidden="1"/>
    </xf>
    <xf numFmtId="0" fontId="2" fillId="2" borderId="0" xfId="0" applyFont="1" applyFill="1" applyProtection="1">
      <protection hidden="1"/>
    </xf>
    <xf numFmtId="0" fontId="3" fillId="2" borderId="0" xfId="0" applyFont="1" applyFill="1" applyAlignment="1" applyProtection="1">
      <alignment horizontal="left" vertical="top" wrapText="1"/>
      <protection hidden="1"/>
    </xf>
    <xf numFmtId="0" fontId="4" fillId="2" borderId="0" xfId="0" applyFont="1" applyFill="1" applyAlignment="1" applyProtection="1">
      <alignment horizontal="left" vertical="top" wrapText="1"/>
      <protection hidden="1"/>
    </xf>
    <xf numFmtId="0" fontId="10" fillId="2" borderId="0" xfId="0" applyFont="1" applyFill="1" applyAlignment="1" applyProtection="1">
      <alignment horizontal="center"/>
      <protection hidden="1"/>
    </xf>
    <xf numFmtId="0" fontId="7" fillId="4" borderId="0" xfId="0" applyFont="1" applyFill="1" applyBorder="1" applyAlignment="1" applyProtection="1">
      <alignment horizontal="center"/>
      <protection hidden="1"/>
    </xf>
    <xf numFmtId="0" fontId="12" fillId="4" borderId="0" xfId="0" applyFont="1" applyFill="1" applyBorder="1" applyAlignment="1" applyProtection="1">
      <alignment horizontal="center" vertical="top" wrapText="1"/>
      <protection hidden="1"/>
    </xf>
    <xf numFmtId="0" fontId="7" fillId="4" borderId="0" xfId="0" applyFont="1" applyFill="1" applyBorder="1" applyAlignment="1" applyProtection="1">
      <alignment horizontal="center" vertical="top" wrapText="1"/>
      <protection hidden="1"/>
    </xf>
    <xf numFmtId="0" fontId="16" fillId="2" borderId="0" xfId="0" applyFont="1" applyFill="1" applyAlignment="1" applyProtection="1">
      <alignment horizontal="left" vertical="top" wrapText="1"/>
      <protection hidden="1"/>
    </xf>
    <xf numFmtId="0" fontId="7" fillId="4" borderId="0" xfId="0" applyFont="1" applyFill="1" applyBorder="1" applyAlignment="1" applyProtection="1">
      <alignment horizontal="center" vertical="center" wrapText="1"/>
      <protection hidden="1"/>
    </xf>
    <xf numFmtId="164" fontId="14" fillId="4" borderId="2" xfId="0" applyNumberFormat="1" applyFont="1" applyFill="1" applyBorder="1" applyAlignment="1" applyProtection="1">
      <alignment horizontal="center"/>
      <protection hidden="1"/>
    </xf>
    <xf numFmtId="0" fontId="14" fillId="4" borderId="2" xfId="0" applyFont="1" applyFill="1" applyBorder="1" applyProtection="1">
      <protection hidden="1"/>
    </xf>
    <xf numFmtId="0" fontId="15" fillId="4" borderId="2" xfId="0" applyFont="1" applyFill="1" applyBorder="1" applyProtection="1">
      <protection hidden="1"/>
    </xf>
    <xf numFmtId="0" fontId="7" fillId="4" borderId="2" xfId="0" applyFont="1" applyFill="1" applyBorder="1" applyProtection="1">
      <protection hidden="1"/>
    </xf>
    <xf numFmtId="0" fontId="17" fillId="4" borderId="2" xfId="0" applyFont="1" applyFill="1" applyBorder="1" applyProtection="1">
      <protection hidden="1"/>
    </xf>
  </cellXfs>
  <cellStyles count="2">
    <cellStyle name="rot" xfId="1"/>
    <cellStyle name="Standard" xfId="0" builtinId="0"/>
  </cellStyles>
  <dxfs count="5">
    <dxf>
      <font>
        <i val="0"/>
        <strike/>
        <condense val="0"/>
        <extend val="0"/>
        <u val="none"/>
        <name val="þcï²h·)CTNzMm±SVÄlêwñ«Kz2ì°{¾"/>
        <scheme val="none"/>
      </font>
      <fill>
        <patternFill patternType="solid">
          <fgColor indexed="60"/>
          <bgColor indexed="10"/>
        </patternFill>
      </fill>
    </dxf>
    <dxf>
      <font>
        <condense val="0"/>
        <extend val="0"/>
        <color indexed="10"/>
        <name val="_x000e_õw ¥þÄÃf¶"/>
        <scheme val="none"/>
      </font>
    </dxf>
    <dxf>
      <font>
        <i val="0"/>
        <strike/>
        <condense val="0"/>
        <extend val="0"/>
        <u val="none"/>
        <name val="ruå_û|ùN×âÁõ£½ÕMýwF0þ×ùê_x0002_â"/>
        <scheme val="none"/>
      </font>
      <fill>
        <patternFill patternType="solid">
          <fgColor indexed="60"/>
          <bgColor indexed="10"/>
        </patternFill>
      </fill>
    </dxf>
    <dxf>
      <font>
        <condense val="0"/>
        <extend val="0"/>
        <color indexed="10"/>
        <name val="ÝÞ:_x0004_Öd«¬'Ow1h_x000f_·&lt;&amp;_x0011_OKR"/>
        <scheme val="none"/>
      </font>
    </dxf>
    <dxf>
      <font>
        <i val="0"/>
        <strike val="0"/>
        <condense val="0"/>
        <extend val="0"/>
        <u val="none"/>
        <color indexed="10"/>
        <name val="칾磹띜₆躄胿㿶염䁖_xdd0b_ꕈ烧֛덇⛝Ṽ᢯藍蝼ⱞ㔍公劙쨜_xffff__xffff__x0000_"/>
        <scheme val="none"/>
      </font>
      <fill>
        <patternFill patternType="solid">
          <fgColor indexed="34"/>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CC"/>
      <rgbColor rgb="00944794"/>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B4794"/>
      <rgbColor rgb="00969696"/>
      <rgbColor rgb="00003366"/>
      <rgbColor rgb="00339966"/>
      <rgbColor rgb="00003300"/>
      <rgbColor rgb="004C4C4C"/>
      <rgbColor rgb="00993300"/>
      <rgbColor rgb="00993366"/>
      <rgbColor rgb="00333366"/>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8"/>
  <sheetViews>
    <sheetView showGridLines="0" showRowColHeaders="0" tabSelected="1" zoomScaleNormal="100" workbookViewId="0">
      <selection activeCell="D15" sqref="D15"/>
    </sheetView>
  </sheetViews>
  <sheetFormatPr baseColWidth="10" defaultColWidth="11.5703125" defaultRowHeight="12.75" x14ac:dyDescent="0.2"/>
  <cols>
    <col min="1" max="1" width="3" customWidth="1"/>
    <col min="2" max="2" width="13.85546875" customWidth="1"/>
    <col min="3" max="3" width="10.42578125" customWidth="1"/>
    <col min="4" max="4" width="7.28515625" customWidth="1"/>
    <col min="5" max="5" width="6.28515625" customWidth="1"/>
    <col min="6" max="6" width="4.140625" customWidth="1"/>
    <col min="7" max="7" width="12.28515625" customWidth="1"/>
    <col min="8" max="8" width="13.140625" customWidth="1"/>
    <col min="9" max="9" width="6.5703125" customWidth="1"/>
    <col min="10" max="10" width="5.42578125" customWidth="1"/>
    <col min="11" max="11" width="11.140625" customWidth="1"/>
    <col min="12" max="13" width="0" style="1" hidden="1" customWidth="1"/>
    <col min="14" max="18" width="46.140625" customWidth="1"/>
  </cols>
  <sheetData>
    <row r="1" spans="1:18" x14ac:dyDescent="0.2">
      <c r="A1" s="2"/>
      <c r="B1" s="2"/>
      <c r="C1" s="2"/>
      <c r="D1" s="2"/>
      <c r="E1" s="2"/>
      <c r="F1" s="2"/>
      <c r="G1" s="2"/>
      <c r="H1" s="2"/>
      <c r="I1" s="2"/>
      <c r="J1" s="2"/>
      <c r="K1" s="2"/>
      <c r="L1" s="3"/>
      <c r="M1" s="3"/>
      <c r="N1" s="2"/>
      <c r="O1" s="2"/>
      <c r="P1" s="2"/>
      <c r="Q1" s="2"/>
      <c r="R1" s="2"/>
    </row>
    <row r="2" spans="1:18" ht="15.75" x14ac:dyDescent="0.25">
      <c r="A2" s="2"/>
      <c r="B2" s="48" t="s">
        <v>0</v>
      </c>
      <c r="C2" s="48"/>
      <c r="D2" s="48"/>
      <c r="E2" s="48"/>
      <c r="F2" s="48"/>
      <c r="G2" s="48"/>
      <c r="H2" s="48"/>
      <c r="I2" s="48"/>
      <c r="J2" s="48"/>
      <c r="K2" s="2"/>
      <c r="L2" s="3"/>
      <c r="M2" s="3"/>
      <c r="N2" s="2"/>
      <c r="O2" s="2"/>
      <c r="P2" s="2"/>
      <c r="Q2" s="2"/>
      <c r="R2" s="2"/>
    </row>
    <row r="3" spans="1:18" ht="17.100000000000001" customHeight="1" x14ac:dyDescent="0.2">
      <c r="A3" s="2"/>
      <c r="B3" s="49" t="s">
        <v>1</v>
      </c>
      <c r="C3" s="49"/>
      <c r="D3" s="49"/>
      <c r="E3" s="49"/>
      <c r="F3" s="49"/>
      <c r="G3" s="49"/>
      <c r="H3" s="49"/>
      <c r="I3" s="49"/>
      <c r="J3" s="49"/>
      <c r="K3" s="2"/>
      <c r="L3" s="3"/>
      <c r="M3" s="3"/>
      <c r="N3" s="2"/>
      <c r="O3" s="2"/>
      <c r="P3" s="2"/>
      <c r="Q3" s="2"/>
      <c r="R3" s="2"/>
    </row>
    <row r="4" spans="1:18" ht="17.100000000000001" customHeight="1" x14ac:dyDescent="0.2">
      <c r="A4" s="2"/>
      <c r="B4" s="49"/>
      <c r="C4" s="49"/>
      <c r="D4" s="49"/>
      <c r="E4" s="49"/>
      <c r="F4" s="49"/>
      <c r="G4" s="49"/>
      <c r="H4" s="49"/>
      <c r="I4" s="49"/>
      <c r="J4" s="49"/>
      <c r="K4" s="2"/>
      <c r="L4" s="3"/>
      <c r="M4" s="3"/>
      <c r="N4" s="2"/>
      <c r="O4" s="2"/>
      <c r="P4" s="2"/>
      <c r="Q4" s="2"/>
      <c r="R4" s="2"/>
    </row>
    <row r="5" spans="1:18" ht="17.100000000000001" customHeight="1" x14ac:dyDescent="0.2">
      <c r="A5" s="2"/>
      <c r="B5" s="49"/>
      <c r="C5" s="49"/>
      <c r="D5" s="49"/>
      <c r="E5" s="49"/>
      <c r="F5" s="49"/>
      <c r="G5" s="49"/>
      <c r="H5" s="49"/>
      <c r="I5" s="49"/>
      <c r="J5" s="49"/>
      <c r="K5" s="2"/>
      <c r="L5" s="3"/>
      <c r="M5" s="3"/>
      <c r="N5" s="2"/>
      <c r="O5" s="2"/>
      <c r="P5" s="2"/>
      <c r="Q5" s="2"/>
      <c r="R5" s="2"/>
    </row>
    <row r="6" spans="1:18" ht="17.100000000000001" customHeight="1" x14ac:dyDescent="0.2">
      <c r="A6" s="2"/>
      <c r="B6" s="49"/>
      <c r="C6" s="49"/>
      <c r="D6" s="49"/>
      <c r="E6" s="49"/>
      <c r="F6" s="49"/>
      <c r="G6" s="49"/>
      <c r="H6" s="49"/>
      <c r="I6" s="49"/>
      <c r="J6" s="49"/>
      <c r="K6" s="2"/>
      <c r="L6" s="3"/>
      <c r="M6" s="3"/>
      <c r="N6" s="2"/>
      <c r="O6" s="2"/>
      <c r="P6" s="2"/>
      <c r="Q6" s="2"/>
      <c r="R6" s="2"/>
    </row>
    <row r="7" spans="1:18" ht="17.100000000000001" customHeight="1" x14ac:dyDescent="0.2">
      <c r="A7" s="2"/>
      <c r="B7" s="49"/>
      <c r="C7" s="49"/>
      <c r="D7" s="49"/>
      <c r="E7" s="49"/>
      <c r="F7" s="49"/>
      <c r="G7" s="49"/>
      <c r="H7" s="49"/>
      <c r="I7" s="49"/>
      <c r="J7" s="49"/>
      <c r="K7" s="2"/>
      <c r="L7" s="3"/>
      <c r="M7" s="3"/>
      <c r="N7" s="2"/>
      <c r="O7" s="2"/>
      <c r="P7" s="2"/>
      <c r="Q7" s="2"/>
      <c r="R7" s="2"/>
    </row>
    <row r="8" spans="1:18" ht="17.100000000000001" customHeight="1" x14ac:dyDescent="0.2">
      <c r="A8" s="2"/>
      <c r="B8" s="49"/>
      <c r="C8" s="49"/>
      <c r="D8" s="49"/>
      <c r="E8" s="49"/>
      <c r="F8" s="49"/>
      <c r="G8" s="49"/>
      <c r="H8" s="49"/>
      <c r="I8" s="49"/>
      <c r="J8" s="49"/>
      <c r="K8" s="2"/>
      <c r="L8" s="3"/>
      <c r="M8" s="3"/>
      <c r="N8" s="2"/>
      <c r="O8" s="2"/>
      <c r="P8" s="2"/>
      <c r="Q8" s="2"/>
      <c r="R8" s="2"/>
    </row>
    <row r="9" spans="1:18" ht="17.100000000000001" customHeight="1" x14ac:dyDescent="0.2">
      <c r="A9" s="2"/>
      <c r="B9" s="49"/>
      <c r="C9" s="49"/>
      <c r="D9" s="49"/>
      <c r="E9" s="49"/>
      <c r="F9" s="49"/>
      <c r="G9" s="49"/>
      <c r="H9" s="49"/>
      <c r="I9" s="49"/>
      <c r="J9" s="49"/>
      <c r="K9" s="2"/>
      <c r="L9" s="3"/>
      <c r="M9" s="3"/>
      <c r="N9" s="2"/>
      <c r="O9" s="2"/>
      <c r="P9" s="2"/>
      <c r="Q9" s="2"/>
      <c r="R9" s="2"/>
    </row>
    <row r="10" spans="1:18" ht="21.95" customHeight="1" x14ac:dyDescent="0.2">
      <c r="A10" s="2"/>
      <c r="B10" s="49"/>
      <c r="C10" s="49"/>
      <c r="D10" s="49"/>
      <c r="E10" s="49"/>
      <c r="F10" s="49"/>
      <c r="G10" s="49"/>
      <c r="H10" s="49"/>
      <c r="I10" s="49"/>
      <c r="J10" s="49"/>
      <c r="K10" s="2"/>
      <c r="L10" s="3"/>
      <c r="M10" s="3"/>
      <c r="N10" s="2"/>
      <c r="O10" s="2"/>
      <c r="P10" s="2"/>
      <c r="Q10" s="2"/>
      <c r="R10" s="2"/>
    </row>
    <row r="11" spans="1:18" ht="70.150000000000006" customHeight="1" x14ac:dyDescent="0.2">
      <c r="A11" s="2"/>
      <c r="B11" s="50" t="s">
        <v>2</v>
      </c>
      <c r="C11" s="50"/>
      <c r="D11" s="50"/>
      <c r="E11" s="50"/>
      <c r="F11" s="50"/>
      <c r="G11" s="50"/>
      <c r="H11" s="50"/>
      <c r="I11" s="50"/>
      <c r="J11" s="50"/>
      <c r="K11" s="2"/>
      <c r="L11" s="3"/>
      <c r="M11" s="3"/>
      <c r="N11" s="2"/>
      <c r="O11" s="2"/>
      <c r="P11" s="2"/>
      <c r="Q11" s="2"/>
      <c r="R11" s="2"/>
    </row>
    <row r="12" spans="1:18" x14ac:dyDescent="0.2">
      <c r="A12" s="2"/>
      <c r="B12" s="2"/>
      <c r="C12" s="3"/>
      <c r="D12" s="2"/>
      <c r="E12" s="2"/>
      <c r="F12" s="2"/>
      <c r="G12" s="2"/>
      <c r="H12" s="2"/>
      <c r="I12" s="2"/>
      <c r="J12" s="2"/>
      <c r="K12" s="2"/>
      <c r="L12" s="3"/>
      <c r="M12" s="3"/>
      <c r="N12" s="2"/>
      <c r="O12" s="2"/>
      <c r="P12" s="2"/>
      <c r="Q12" s="2"/>
      <c r="R12" s="2"/>
    </row>
    <row r="13" spans="1:18" ht="15" x14ac:dyDescent="0.25">
      <c r="A13" s="2"/>
      <c r="B13" s="5" t="s">
        <v>3</v>
      </c>
      <c r="C13" s="6"/>
      <c r="D13" s="6"/>
      <c r="E13" s="6"/>
      <c r="F13" s="2"/>
      <c r="G13" s="5" t="s">
        <v>4</v>
      </c>
      <c r="H13" s="6"/>
      <c r="I13" s="6"/>
      <c r="J13" s="6"/>
      <c r="K13" s="2"/>
      <c r="L13" s="3"/>
      <c r="M13" s="3"/>
      <c r="N13" s="2"/>
      <c r="O13" s="2"/>
      <c r="P13" s="2"/>
      <c r="Q13" s="2"/>
      <c r="R13" s="2"/>
    </row>
    <row r="14" spans="1:18" ht="15" x14ac:dyDescent="0.25">
      <c r="A14" s="2"/>
      <c r="B14" s="7"/>
      <c r="C14" s="8"/>
      <c r="D14" s="8"/>
      <c r="E14" s="8"/>
      <c r="F14" s="2"/>
      <c r="G14" s="7"/>
      <c r="H14" s="8"/>
      <c r="I14" s="8"/>
      <c r="J14" s="8"/>
      <c r="K14" s="2"/>
      <c r="L14" s="3"/>
      <c r="M14" s="3"/>
      <c r="N14" s="2"/>
      <c r="O14" s="2"/>
      <c r="P14" s="2"/>
      <c r="Q14" s="2"/>
      <c r="R14" s="2"/>
    </row>
    <row r="15" spans="1:18" x14ac:dyDescent="0.2">
      <c r="A15" s="2"/>
      <c r="B15" s="8"/>
      <c r="C15" s="9" t="s">
        <v>5</v>
      </c>
      <c r="D15" s="10">
        <v>-3</v>
      </c>
      <c r="E15" s="11" t="s">
        <v>6</v>
      </c>
      <c r="F15" s="2"/>
      <c r="G15" s="8"/>
      <c r="H15" s="9" t="str">
        <f>C15</f>
        <v xml:space="preserve">Antenna Gain: </v>
      </c>
      <c r="I15" s="10">
        <v>-3</v>
      </c>
      <c r="J15" s="11" t="s">
        <v>6</v>
      </c>
      <c r="K15" s="2"/>
      <c r="L15" s="3" t="s">
        <v>7</v>
      </c>
      <c r="M15" s="3" t="s">
        <v>7</v>
      </c>
      <c r="N15" s="2"/>
      <c r="O15" s="2"/>
      <c r="P15" s="2"/>
      <c r="Q15" s="2"/>
      <c r="R15" s="2"/>
    </row>
    <row r="16" spans="1:18" x14ac:dyDescent="0.2">
      <c r="A16" s="2"/>
      <c r="B16" s="8"/>
      <c r="C16" s="9" t="s">
        <v>8</v>
      </c>
      <c r="D16" s="12">
        <v>100</v>
      </c>
      <c r="E16" s="11" t="s">
        <v>9</v>
      </c>
      <c r="F16" s="2"/>
      <c r="G16" s="8"/>
      <c r="H16" s="9" t="str">
        <f>C16</f>
        <v xml:space="preserve">Antenna Height: </v>
      </c>
      <c r="I16" s="12">
        <v>3</v>
      </c>
      <c r="J16" s="11" t="s">
        <v>9</v>
      </c>
      <c r="K16" s="2"/>
      <c r="L16" s="3">
        <f>D16*0.3048</f>
        <v>30.48</v>
      </c>
      <c r="M16" s="3">
        <f>I16*0.3048</f>
        <v>0.9144000000000001</v>
      </c>
      <c r="N16" s="2"/>
      <c r="O16" s="2"/>
      <c r="P16" s="2"/>
      <c r="Q16" s="2"/>
      <c r="R16" s="2"/>
    </row>
    <row r="17" spans="1:18" x14ac:dyDescent="0.2">
      <c r="A17" s="2"/>
      <c r="B17" s="8"/>
      <c r="C17" s="9" t="s">
        <v>10</v>
      </c>
      <c r="D17" s="13">
        <v>0.5</v>
      </c>
      <c r="E17" s="11" t="s">
        <v>11</v>
      </c>
      <c r="F17" s="2"/>
      <c r="G17" s="8"/>
      <c r="H17" s="9" t="s">
        <v>12</v>
      </c>
      <c r="I17" s="13">
        <v>0.25</v>
      </c>
      <c r="J17" s="11" t="s">
        <v>13</v>
      </c>
      <c r="K17" s="2"/>
      <c r="L17" s="3"/>
      <c r="M17" s="3"/>
      <c r="N17" s="2"/>
      <c r="O17" s="2"/>
      <c r="P17" s="2"/>
      <c r="Q17" s="2"/>
      <c r="R17" s="2"/>
    </row>
    <row r="18" spans="1:18" x14ac:dyDescent="0.2">
      <c r="A18" s="2"/>
      <c r="B18" s="8"/>
      <c r="C18" s="8"/>
      <c r="D18" s="14">
        <f>10*LOG(D17*1000,10)</f>
        <v>26.989700043360184</v>
      </c>
      <c r="E18" s="11" t="s">
        <v>14</v>
      </c>
      <c r="F18" s="2"/>
      <c r="G18" s="8"/>
      <c r="H18" s="8"/>
      <c r="I18" s="14">
        <f>20*LOG(I17,10)-107</f>
        <v>-119.04119982655925</v>
      </c>
      <c r="J18" s="11" t="s">
        <v>14</v>
      </c>
      <c r="K18" s="2"/>
      <c r="L18" s="3"/>
      <c r="M18" s="3"/>
      <c r="N18" s="2"/>
      <c r="O18" s="2"/>
      <c r="P18" s="2"/>
      <c r="Q18" s="2"/>
      <c r="R18" s="2"/>
    </row>
    <row r="19" spans="1:18" ht="8.4499999999999993" customHeight="1" x14ac:dyDescent="0.2">
      <c r="A19" s="2"/>
      <c r="B19" s="8"/>
      <c r="C19" s="8"/>
      <c r="D19" s="8"/>
      <c r="E19" s="8"/>
      <c r="F19" s="2"/>
      <c r="G19" s="8"/>
      <c r="H19" s="8"/>
      <c r="I19" s="8"/>
      <c r="J19" s="8"/>
      <c r="K19" s="2"/>
      <c r="L19" s="3"/>
      <c r="M19" s="3"/>
      <c r="N19" s="2"/>
      <c r="O19" s="2"/>
      <c r="P19" s="2"/>
      <c r="Q19" s="2"/>
      <c r="R19" s="2"/>
    </row>
    <row r="20" spans="1:18" x14ac:dyDescent="0.2">
      <c r="A20" s="2"/>
      <c r="B20" s="51" t="str">
        <f>IF(D16&lt;I16,"ATTENTION! TX antenna should be higher than RX antenna!"," ")</f>
        <v xml:space="preserve"> </v>
      </c>
      <c r="C20" s="51"/>
      <c r="D20" s="51"/>
      <c r="E20" s="51"/>
      <c r="F20" s="51"/>
      <c r="G20" s="51"/>
      <c r="H20" s="51"/>
      <c r="I20" s="51"/>
      <c r="J20" s="51"/>
      <c r="K20" s="2"/>
      <c r="L20" s="3" t="s">
        <v>7</v>
      </c>
      <c r="M20" s="3" t="s">
        <v>15</v>
      </c>
      <c r="N20" s="2"/>
      <c r="O20" s="2"/>
      <c r="P20" s="2"/>
      <c r="Q20" s="2"/>
      <c r="R20" s="2"/>
    </row>
    <row r="21" spans="1:18" ht="15" x14ac:dyDescent="0.25">
      <c r="A21" s="2"/>
      <c r="B21" s="5" t="s">
        <v>16</v>
      </c>
      <c r="C21" s="6"/>
      <c r="D21" s="6"/>
      <c r="E21" s="6"/>
      <c r="F21" s="6"/>
      <c r="G21" s="6"/>
      <c r="H21" s="6"/>
      <c r="I21" s="6"/>
      <c r="J21" s="6"/>
      <c r="K21" s="2"/>
      <c r="L21" s="3">
        <v>10</v>
      </c>
      <c r="M21" s="3">
        <f>L21/0.3048</f>
        <v>32.808398950131235</v>
      </c>
      <c r="N21" s="2"/>
      <c r="O21" s="2"/>
      <c r="P21" s="2"/>
      <c r="Q21" s="2"/>
      <c r="R21" s="2"/>
    </row>
    <row r="22" spans="1:18" ht="12.4" customHeight="1" x14ac:dyDescent="0.25">
      <c r="A22" s="2"/>
      <c r="B22" s="15"/>
      <c r="C22" s="11"/>
      <c r="D22" s="11"/>
      <c r="E22" s="11"/>
      <c r="F22" s="11"/>
      <c r="G22" s="11"/>
      <c r="H22" s="11"/>
      <c r="I22" s="11"/>
      <c r="J22" s="11"/>
      <c r="K22" s="2"/>
      <c r="L22" s="3"/>
      <c r="M22" s="3"/>
      <c r="N22" s="2"/>
      <c r="O22" s="2"/>
      <c r="P22" s="2"/>
      <c r="Q22" s="2"/>
      <c r="R22" s="2"/>
    </row>
    <row r="23" spans="1:18" x14ac:dyDescent="0.2">
      <c r="A23" s="2"/>
      <c r="B23" s="11"/>
      <c r="C23" s="9" t="s">
        <v>17</v>
      </c>
      <c r="D23" s="16">
        <v>145</v>
      </c>
      <c r="E23" s="17" t="s">
        <v>18</v>
      </c>
      <c r="F23" s="17"/>
      <c r="G23" s="17"/>
      <c r="H23" s="9" t="s">
        <v>19</v>
      </c>
      <c r="I23" s="18">
        <f>300000000/(D23*1000000)</f>
        <v>2.0689655172413794</v>
      </c>
      <c r="J23" s="11" t="s">
        <v>20</v>
      </c>
      <c r="K23" s="2"/>
      <c r="L23" s="3" t="s">
        <v>21</v>
      </c>
      <c r="M23" s="3" t="s">
        <v>22</v>
      </c>
      <c r="N23" s="2"/>
      <c r="O23" s="2"/>
      <c r="P23" s="2"/>
      <c r="Q23" s="2"/>
      <c r="R23" s="2"/>
    </row>
    <row r="24" spans="1:18" x14ac:dyDescent="0.2">
      <c r="A24" s="2"/>
      <c r="B24" s="11"/>
      <c r="C24" s="11"/>
      <c r="D24" s="19" t="str">
        <f>IF(D23&lt;140,"Frequency too low! (140...1500 MHz)",IF(D23&gt;1500,"Frequency too high! (140...1500 MHz)"," "))</f>
        <v xml:space="preserve"> </v>
      </c>
      <c r="E24" s="11"/>
      <c r="F24" s="11"/>
      <c r="G24" s="11"/>
      <c r="H24" s="20" t="s">
        <v>23</v>
      </c>
      <c r="I24" s="21">
        <f>I18-D18</f>
        <v>-146.03089986991944</v>
      </c>
      <c r="J24" s="11" t="s">
        <v>24</v>
      </c>
      <c r="K24" s="2"/>
      <c r="L24" s="3">
        <v>50</v>
      </c>
      <c r="M24" s="3">
        <f>L24/1.609344</f>
        <v>31.068559611866696</v>
      </c>
      <c r="N24" s="2"/>
      <c r="O24" s="2"/>
      <c r="P24" s="2"/>
      <c r="Q24" s="2"/>
      <c r="R24" s="2"/>
    </row>
    <row r="25" spans="1:18" ht="9.4" customHeight="1" x14ac:dyDescent="0.2">
      <c r="A25" s="2"/>
      <c r="B25" s="11"/>
      <c r="C25" s="11"/>
      <c r="D25" s="11"/>
      <c r="E25" s="11"/>
      <c r="F25" s="11"/>
      <c r="G25" s="11"/>
      <c r="H25" s="11"/>
      <c r="I25" s="11"/>
      <c r="J25" s="11"/>
      <c r="K25" s="2"/>
      <c r="L25" s="3"/>
      <c r="M25" s="3"/>
      <c r="N25" s="2"/>
      <c r="O25" s="2"/>
      <c r="P25" s="2"/>
      <c r="Q25" s="2"/>
      <c r="R25" s="2"/>
    </row>
    <row r="26" spans="1:18" x14ac:dyDescent="0.2">
      <c r="A26" s="2"/>
      <c r="B26" s="2"/>
      <c r="C26" s="2"/>
      <c r="D26" s="2"/>
      <c r="E26" s="2"/>
      <c r="F26" s="2"/>
      <c r="G26" s="2"/>
      <c r="H26" s="2"/>
      <c r="I26" s="2"/>
      <c r="J26" s="2"/>
      <c r="K26" s="2"/>
      <c r="L26" s="3"/>
      <c r="M26" s="3"/>
      <c r="N26" s="2"/>
      <c r="O26" s="2"/>
      <c r="P26" s="2"/>
      <c r="Q26" s="2"/>
      <c r="R26" s="2"/>
    </row>
    <row r="27" spans="1:18" hidden="1" x14ac:dyDescent="0.2">
      <c r="A27" s="2"/>
      <c r="B27" s="3" t="s">
        <v>25</v>
      </c>
      <c r="C27" s="22">
        <f>0.8 + (1.1*LOG(D23,10) - 0.7)*M16 - 1.56*LOG(D23,10)</f>
        <v>-1.0378236921185331</v>
      </c>
      <c r="D27" s="23"/>
      <c r="E27" s="24" t="s">
        <v>26</v>
      </c>
      <c r="F27" s="2"/>
      <c r="G27" s="3" t="s">
        <v>27</v>
      </c>
      <c r="H27" s="2">
        <f>IF(L16&lt;12,C27,IF(D23&lt;200,C28,C29))</f>
        <v>-0.91680024101187596</v>
      </c>
      <c r="I27" s="2"/>
      <c r="J27" s="2"/>
      <c r="K27" s="2"/>
      <c r="L27" s="3"/>
      <c r="M27" s="3"/>
      <c r="N27" s="2"/>
      <c r="O27" s="2"/>
      <c r="P27" s="2"/>
      <c r="Q27" s="2"/>
      <c r="R27" s="2"/>
    </row>
    <row r="28" spans="1:18" hidden="1" x14ac:dyDescent="0.2">
      <c r="A28" s="2"/>
      <c r="B28" s="3" t="s">
        <v>28</v>
      </c>
      <c r="C28" s="2">
        <f>8.29*(LOG(1.54*M16,10))^2 - 1.1</f>
        <v>-0.91680024101187596</v>
      </c>
      <c r="D28" s="23"/>
      <c r="E28" s="2" t="s">
        <v>29</v>
      </c>
      <c r="F28" s="2"/>
      <c r="G28" s="2"/>
      <c r="H28" s="2"/>
      <c r="I28" s="2"/>
      <c r="J28" s="2"/>
      <c r="K28" s="2"/>
      <c r="L28" s="3"/>
      <c r="M28" s="3"/>
      <c r="N28" s="2"/>
      <c r="O28" s="2"/>
      <c r="P28" s="2"/>
      <c r="Q28" s="2"/>
      <c r="R28" s="2"/>
    </row>
    <row r="29" spans="1:18" hidden="1" x14ac:dyDescent="0.2">
      <c r="A29" s="2"/>
      <c r="B29" s="3" t="s">
        <v>30</v>
      </c>
      <c r="C29" s="2">
        <f>3.2*(LOG(11.75*M16,10))^2 - 4.97</f>
        <v>-1.567376027190762</v>
      </c>
      <c r="D29" s="23"/>
      <c r="E29" s="2" t="s">
        <v>31</v>
      </c>
      <c r="F29" s="2"/>
      <c r="G29" s="2"/>
      <c r="H29" s="2"/>
      <c r="I29" s="2"/>
      <c r="J29" s="2"/>
      <c r="K29" s="2"/>
      <c r="L29" s="3"/>
      <c r="M29" s="3"/>
      <c r="N29" s="2"/>
      <c r="O29" s="2"/>
      <c r="P29" s="2"/>
      <c r="Q29" s="2"/>
      <c r="R29" s="2"/>
    </row>
    <row r="30" spans="1:18" hidden="1" x14ac:dyDescent="0.2">
      <c r="A30" s="2"/>
      <c r="B30" s="3"/>
      <c r="C30" s="25" t="s">
        <v>32</v>
      </c>
      <c r="D30" s="26">
        <f>LOG(D23/100,10)*6 + 10.3</f>
        <v>11.268208013409851</v>
      </c>
      <c r="E30" s="24" t="s">
        <v>33</v>
      </c>
      <c r="F30" s="2" t="s">
        <v>34</v>
      </c>
      <c r="G30" s="3"/>
      <c r="H30" s="2"/>
      <c r="I30" s="2"/>
      <c r="J30" s="2"/>
      <c r="K30" s="2"/>
      <c r="L30" s="3"/>
      <c r="M30" s="3"/>
      <c r="N30" s="2"/>
      <c r="O30" s="2"/>
      <c r="P30" s="2"/>
      <c r="Q30" s="2"/>
      <c r="R30" s="2"/>
    </row>
    <row r="31" spans="1:18" ht="15" x14ac:dyDescent="0.25">
      <c r="A31" s="2"/>
      <c r="B31" s="5" t="s">
        <v>35</v>
      </c>
      <c r="C31" s="27"/>
      <c r="D31" s="27"/>
      <c r="E31" s="27"/>
      <c r="F31" s="27"/>
      <c r="G31" s="27"/>
      <c r="H31" s="27"/>
      <c r="I31" s="27"/>
      <c r="J31" s="27"/>
      <c r="K31" s="2"/>
      <c r="L31" s="3"/>
      <c r="M31" s="3"/>
      <c r="N31" s="2"/>
      <c r="O31" s="2"/>
      <c r="P31" s="2"/>
      <c r="Q31" s="2"/>
      <c r="R31" s="2"/>
    </row>
    <row r="32" spans="1:18" x14ac:dyDescent="0.2">
      <c r="A32" s="2"/>
      <c r="B32" s="8"/>
      <c r="C32" s="8"/>
      <c r="D32" s="8"/>
      <c r="E32" s="8"/>
      <c r="F32" s="8"/>
      <c r="G32" s="8"/>
      <c r="H32" s="8"/>
      <c r="I32" s="8"/>
      <c r="J32" s="8"/>
      <c r="K32" s="2"/>
      <c r="L32" s="3"/>
      <c r="M32" s="3"/>
      <c r="N32" s="2"/>
      <c r="O32" s="2"/>
      <c r="P32" s="2"/>
      <c r="Q32" s="2"/>
      <c r="R32" s="2"/>
    </row>
    <row r="33" spans="1:18" ht="12.75" customHeight="1" x14ac:dyDescent="0.2">
      <c r="A33" s="2"/>
      <c r="B33" s="52" t="s">
        <v>36</v>
      </c>
      <c r="C33" s="52"/>
      <c r="D33" s="52"/>
      <c r="E33" s="28"/>
      <c r="F33" s="28"/>
      <c r="G33" s="28"/>
      <c r="H33" s="28"/>
      <c r="I33" s="28"/>
      <c r="J33" s="8"/>
      <c r="K33" s="2"/>
      <c r="L33" s="3" t="s">
        <v>21</v>
      </c>
      <c r="M33" s="3"/>
      <c r="N33" s="2"/>
      <c r="O33" s="2"/>
      <c r="P33" s="2"/>
      <c r="Q33" s="2"/>
      <c r="R33" s="2"/>
    </row>
    <row r="34" spans="1:18" ht="12.95" customHeight="1" x14ac:dyDescent="0.2">
      <c r="A34" s="2"/>
      <c r="B34" s="53" t="s">
        <v>37</v>
      </c>
      <c r="C34" s="53"/>
      <c r="D34" s="53"/>
      <c r="E34" s="29">
        <f>10^((69.55 + 26.16*LOG(D23,10) - 13.82*LOG(L16,10) - H27 - D15 - I15 + I24 - D30) / -(44.9-6.55*LOG(L16,10))) /1.609344</f>
        <v>11.663071533742452</v>
      </c>
      <c r="F34" s="30" t="s">
        <v>38</v>
      </c>
      <c r="G34" s="31" t="s">
        <v>39</v>
      </c>
      <c r="H34" s="17"/>
      <c r="I34" s="32"/>
      <c r="J34" s="8"/>
      <c r="K34" s="2"/>
      <c r="L34" s="33">
        <f>E34*1.609344</f>
        <v>18.769894194399214</v>
      </c>
      <c r="M34" s="3"/>
      <c r="N34" s="2"/>
      <c r="O34" s="2"/>
      <c r="P34" s="2"/>
      <c r="Q34" s="2"/>
      <c r="R34" s="2"/>
    </row>
    <row r="35" spans="1:18" x14ac:dyDescent="0.2">
      <c r="A35" s="2"/>
      <c r="B35" s="53"/>
      <c r="C35" s="53"/>
      <c r="D35" s="53"/>
      <c r="E35" s="57">
        <f>10^((69.55 + 26.16*LOG(D23,10) - 13.82*LOG(L16,10) - H27 - D15 - I15 + I24) / -(44.9-6.55*LOG(L16,10))) /1.609344</f>
        <v>5.5783876500073415</v>
      </c>
      <c r="F35" s="58" t="s">
        <v>38</v>
      </c>
      <c r="G35" s="59" t="s">
        <v>40</v>
      </c>
      <c r="H35" s="60"/>
      <c r="I35" s="34" t="str">
        <f>IF(E35&gt;12,"Attention!"," ")</f>
        <v xml:space="preserve"> </v>
      </c>
      <c r="J35" s="8"/>
      <c r="K35" s="2"/>
      <c r="L35" s="33">
        <f>E35*1.609344</f>
        <v>8.9775446942134156</v>
      </c>
      <c r="M35" s="3"/>
      <c r="N35" s="2"/>
      <c r="O35" s="2"/>
      <c r="P35" s="2"/>
      <c r="Q35" s="2"/>
      <c r="R35" s="2"/>
    </row>
    <row r="36" spans="1:18" x14ac:dyDescent="0.2">
      <c r="A36" s="2"/>
      <c r="B36" s="53"/>
      <c r="C36" s="53"/>
      <c r="D36" s="53"/>
      <c r="E36" s="29">
        <f>10^((69.55 + 26.16*LOG(D23,10) - 13.82*LOG(L16,10) - H27 - D15 - I15 + I24 + D30) / -(44.9-6.55*LOG(L16,10))) /1.609344</f>
        <v>2.6681143713922792</v>
      </c>
      <c r="F36" s="30" t="s">
        <v>38</v>
      </c>
      <c r="G36" s="31" t="s">
        <v>41</v>
      </c>
      <c r="H36" s="17"/>
      <c r="I36" s="32"/>
      <c r="J36" s="8"/>
      <c r="K36" s="2"/>
      <c r="L36" s="33">
        <f>E36*1.609344</f>
        <v>4.2939138549139368</v>
      </c>
      <c r="M36" s="3"/>
      <c r="N36" s="2"/>
      <c r="O36" s="2"/>
      <c r="P36" s="2"/>
      <c r="Q36" s="2"/>
      <c r="R36" s="2"/>
    </row>
    <row r="37" spans="1:18" x14ac:dyDescent="0.2">
      <c r="A37" s="2"/>
      <c r="B37" s="53"/>
      <c r="C37" s="53"/>
      <c r="D37" s="53"/>
      <c r="E37" s="29"/>
      <c r="F37" s="30"/>
      <c r="G37" s="31"/>
      <c r="H37" s="17"/>
      <c r="I37" s="32"/>
      <c r="J37" s="35" t="str">
        <f>IF(E35&gt;12,"Maximum prediction range is 12 miles!"," ")</f>
        <v xml:space="preserve"> </v>
      </c>
      <c r="K37" s="2"/>
      <c r="L37" s="33"/>
      <c r="M37" s="3"/>
      <c r="N37" s="2"/>
      <c r="O37" s="2"/>
      <c r="P37" s="2"/>
      <c r="Q37" s="2"/>
      <c r="R37" s="2"/>
    </row>
    <row r="38" spans="1:18" ht="13.35" customHeight="1" x14ac:dyDescent="0.2">
      <c r="A38" s="23"/>
      <c r="B38" s="54" t="s">
        <v>42</v>
      </c>
      <c r="C38" s="54"/>
      <c r="D38" s="54"/>
      <c r="E38" s="11"/>
      <c r="F38" s="11"/>
      <c r="G38" s="37"/>
      <c r="H38" s="37"/>
      <c r="I38" s="32"/>
      <c r="J38" s="37"/>
      <c r="K38" s="23"/>
      <c r="L38" s="33"/>
      <c r="M38" s="38"/>
      <c r="N38" s="23"/>
      <c r="O38" s="23"/>
      <c r="P38" s="23"/>
      <c r="Q38" s="23"/>
      <c r="R38" s="23"/>
    </row>
    <row r="39" spans="1:18" ht="12.95" customHeight="1" x14ac:dyDescent="0.2">
      <c r="A39" s="23"/>
      <c r="B39" s="53" t="s">
        <v>43</v>
      </c>
      <c r="C39" s="53"/>
      <c r="D39" s="53"/>
      <c r="E39" s="29">
        <f>10^((69.55 + 26.16*LOG(D23,10) - 13.82*LOG(L16,10) - H27 - D15 - I15 + I24 -D30 - 2*(LOG(D23/28,10))^2 - 5.4) / -(44.9-6.55*LOG(L16,10))) /1.609344</f>
        <v>17.754563002030157</v>
      </c>
      <c r="F39" s="30" t="s">
        <v>38</v>
      </c>
      <c r="G39" s="31" t="s">
        <v>39</v>
      </c>
      <c r="H39" s="17"/>
      <c r="I39" s="32"/>
      <c r="J39" s="37"/>
      <c r="K39" s="23"/>
      <c r="L39" s="33">
        <f>E39*1.609344</f>
        <v>28.573199439939224</v>
      </c>
      <c r="M39" s="38"/>
      <c r="N39" s="23"/>
      <c r="O39" s="23"/>
      <c r="P39" s="23"/>
      <c r="Q39" s="23"/>
      <c r="R39" s="23"/>
    </row>
    <row r="40" spans="1:18" x14ac:dyDescent="0.2">
      <c r="A40" s="23"/>
      <c r="B40" s="53"/>
      <c r="C40" s="53"/>
      <c r="D40" s="53"/>
      <c r="E40" s="57">
        <f>10^((69.55 + 26.16*LOG(D23,10) - 13.82*LOG(L16,10) - H27 - D15 - I15 + I24 - 2*(LOG(D23/28,10))^2 - 5.4) / -(44.9-6.55*LOG(L16,10))) /1.609344</f>
        <v>8.4919169616051953</v>
      </c>
      <c r="F40" s="58" t="s">
        <v>38</v>
      </c>
      <c r="G40" s="59" t="s">
        <v>40</v>
      </c>
      <c r="H40" s="60"/>
      <c r="I40" s="34" t="str">
        <f>IF(E40&gt;12,"Attention!"," ")</f>
        <v xml:space="preserve"> </v>
      </c>
      <c r="J40" s="37"/>
      <c r="K40" s="23"/>
      <c r="L40" s="33">
        <f>E40*1.609344</f>
        <v>13.666415610657552</v>
      </c>
      <c r="M40" s="38"/>
      <c r="N40" s="23"/>
      <c r="O40" s="23"/>
      <c r="P40" s="23"/>
      <c r="Q40" s="23"/>
      <c r="R40" s="23"/>
    </row>
    <row r="41" spans="1:18" x14ac:dyDescent="0.2">
      <c r="A41" s="23"/>
      <c r="B41" s="53"/>
      <c r="C41" s="53"/>
      <c r="D41" s="53"/>
      <c r="E41" s="29">
        <f>10^((69.55 + 26.16*LOG(D23,10) - 13.82*LOG(L16,10) - H27 - D15 - I15 + I24 + D30 - 2*(LOG(D23/28,10))^2 - 5.4) / -(44.9-6.55*LOG(L16,10))) /1.609344</f>
        <v>4.0616405863975542</v>
      </c>
      <c r="F41" s="30" t="s">
        <v>38</v>
      </c>
      <c r="G41" s="31" t="s">
        <v>41</v>
      </c>
      <c r="H41" s="17"/>
      <c r="I41" s="32"/>
      <c r="J41" s="37"/>
      <c r="K41" s="23"/>
      <c r="L41" s="33">
        <f>E41*1.609344</f>
        <v>6.5365769078753857</v>
      </c>
      <c r="M41" s="38"/>
      <c r="N41" s="23"/>
      <c r="O41" s="23"/>
      <c r="P41" s="23"/>
      <c r="Q41" s="23"/>
      <c r="R41" s="23"/>
    </row>
    <row r="42" spans="1:18" x14ac:dyDescent="0.2">
      <c r="A42" s="23"/>
      <c r="B42" s="36"/>
      <c r="C42" s="39"/>
      <c r="D42" s="40"/>
      <c r="E42" s="29"/>
      <c r="F42" s="30"/>
      <c r="G42" s="31"/>
      <c r="H42" s="17"/>
      <c r="I42" s="32"/>
      <c r="J42" s="35" t="str">
        <f>IF(E40&gt;12,"Maximum prediction range is 12 miles!"," ")</f>
        <v xml:space="preserve"> </v>
      </c>
      <c r="K42" s="23"/>
      <c r="L42" s="33"/>
      <c r="M42" s="38"/>
      <c r="N42" s="23"/>
      <c r="O42" s="23"/>
      <c r="P42" s="23"/>
      <c r="Q42" s="23"/>
      <c r="R42" s="23"/>
    </row>
    <row r="43" spans="1:18" ht="13.35" customHeight="1" x14ac:dyDescent="0.2">
      <c r="A43" s="23"/>
      <c r="B43" s="54" t="s">
        <v>44</v>
      </c>
      <c r="C43" s="54"/>
      <c r="D43" s="54"/>
      <c r="E43" s="11"/>
      <c r="F43" s="11"/>
      <c r="G43" s="37"/>
      <c r="H43" s="37"/>
      <c r="I43" s="32"/>
      <c r="J43" s="37"/>
      <c r="K43" s="23"/>
      <c r="L43" s="33"/>
      <c r="M43" s="38"/>
      <c r="N43" s="23"/>
      <c r="O43" s="23"/>
      <c r="P43" s="23"/>
      <c r="Q43" s="23"/>
      <c r="R43" s="23"/>
    </row>
    <row r="44" spans="1:18" ht="12.95" customHeight="1" x14ac:dyDescent="0.2">
      <c r="A44" s="23"/>
      <c r="B44" s="53" t="s">
        <v>45</v>
      </c>
      <c r="C44" s="53"/>
      <c r="D44" s="53"/>
      <c r="E44" s="29">
        <f>10^((69.55 + 26.16*LOG(D23,10) - 13.82*LOG(L16,10) - H27 - D15 - I15 + I24 -D30 - 4.78*(LOG(D23,10))^2 + 18.33*LOG(D23,10) - 40.97 ) / -(44.9-6.55*LOG(L16,10))) /1.609344</f>
        <v>54.952037148975975</v>
      </c>
      <c r="F44" s="30" t="s">
        <v>38</v>
      </c>
      <c r="G44" s="31" t="s">
        <v>39</v>
      </c>
      <c r="H44" s="17"/>
      <c r="I44" s="32"/>
      <c r="J44" s="37"/>
      <c r="K44" s="23"/>
      <c r="L44" s="33">
        <f>E44*1.609344</f>
        <v>88.436731273481598</v>
      </c>
      <c r="M44" s="38"/>
      <c r="N44" s="23"/>
      <c r="O44" s="23"/>
      <c r="P44" s="23"/>
      <c r="Q44" s="23"/>
      <c r="R44" s="23"/>
    </row>
    <row r="45" spans="1:18" x14ac:dyDescent="0.2">
      <c r="A45" s="23"/>
      <c r="B45" s="53"/>
      <c r="C45" s="53"/>
      <c r="D45" s="53"/>
      <c r="E45" s="57">
        <f>10^((69.55 + 26.16*LOG(D23,10) - 13.82*LOG(L16,10) - H27 - D15 - I15 + I24 - 4.78*(LOG(D23,10))^2 + 18.33*LOG(D23,10) - 40.97 ) / -(44.9-6.55*LOG(L16,10))) /1.609344</f>
        <v>26.283279193455179</v>
      </c>
      <c r="F45" s="58" t="s">
        <v>38</v>
      </c>
      <c r="G45" s="59" t="s">
        <v>40</v>
      </c>
      <c r="H45" s="60"/>
      <c r="I45" s="34" t="str">
        <f>IF(E45&gt;12,"Attention!"," ")</f>
        <v>Attention!</v>
      </c>
      <c r="J45" s="37"/>
      <c r="K45" s="23"/>
      <c r="L45" s="33">
        <f>E45*1.609344</f>
        <v>42.298837670311933</v>
      </c>
      <c r="M45" s="38"/>
      <c r="N45" s="23"/>
      <c r="O45" s="23"/>
      <c r="P45" s="23"/>
      <c r="Q45" s="23"/>
      <c r="R45" s="23"/>
    </row>
    <row r="46" spans="1:18" x14ac:dyDescent="0.2">
      <c r="A46" s="23"/>
      <c r="B46" s="53"/>
      <c r="C46" s="53"/>
      <c r="D46" s="53"/>
      <c r="E46" s="29">
        <f>10^((69.55 + 26.16*LOG(D23,10) - 13.82*LOG(L16,10) - H27 - D15 - I15 + I24 +D30 - 4.78*(LOG(D23,10))^2 + 18.33*LOG(D23,10) - 40.97 ) / -(44.9-6.55*LOG(L16,10))) /1.609344</f>
        <v>12.571158432003397</v>
      </c>
      <c r="F46" s="30" t="s">
        <v>38</v>
      </c>
      <c r="G46" s="31" t="s">
        <v>41</v>
      </c>
      <c r="H46" s="17"/>
      <c r="I46" s="32"/>
      <c r="J46" s="37"/>
      <c r="K46" s="23"/>
      <c r="L46" s="33">
        <f>E46*1.609344</f>
        <v>20.231318395594077</v>
      </c>
      <c r="M46" s="38"/>
      <c r="N46" s="23"/>
      <c r="O46" s="23"/>
      <c r="P46" s="23"/>
      <c r="Q46" s="23"/>
      <c r="R46" s="23"/>
    </row>
    <row r="47" spans="1:18" x14ac:dyDescent="0.2">
      <c r="A47" s="23"/>
      <c r="B47" s="37"/>
      <c r="C47" s="37"/>
      <c r="D47" s="37"/>
      <c r="E47" s="37"/>
      <c r="F47" s="37"/>
      <c r="G47" s="37"/>
      <c r="H47" s="37"/>
      <c r="I47" s="37"/>
      <c r="J47" s="35" t="str">
        <f>IF(E45&gt;12,"Maximum prediction range is 12 miles!"," ")</f>
        <v>Maximum prediction range is 12 miles!</v>
      </c>
      <c r="K47" s="23"/>
      <c r="L47" s="41"/>
      <c r="M47" s="38"/>
      <c r="N47" s="23"/>
      <c r="O47" s="23"/>
      <c r="P47" s="23"/>
      <c r="Q47" s="23"/>
      <c r="R47" s="23"/>
    </row>
    <row r="48" spans="1:18" x14ac:dyDescent="0.2">
      <c r="A48" s="23"/>
      <c r="B48" s="23"/>
      <c r="C48" s="23"/>
      <c r="D48" s="23"/>
      <c r="E48" s="23"/>
      <c r="F48" s="23"/>
      <c r="G48" s="23"/>
      <c r="H48" s="23"/>
      <c r="I48" s="23"/>
      <c r="J48" s="23"/>
      <c r="K48" s="23"/>
      <c r="L48" s="41"/>
      <c r="M48" s="38"/>
      <c r="N48" s="23"/>
      <c r="O48" s="23"/>
      <c r="P48" s="23"/>
      <c r="Q48" s="23"/>
      <c r="R48" s="23"/>
    </row>
    <row r="49" spans="1:18" ht="15" x14ac:dyDescent="0.25">
      <c r="A49" s="23"/>
      <c r="B49" s="5" t="s">
        <v>46</v>
      </c>
      <c r="C49" s="27"/>
      <c r="D49" s="27"/>
      <c r="E49" s="27"/>
      <c r="F49" s="27"/>
      <c r="G49" s="27"/>
      <c r="H49" s="27"/>
      <c r="I49" s="27"/>
      <c r="J49" s="27"/>
      <c r="K49" s="23"/>
      <c r="L49" s="41"/>
      <c r="M49" s="38"/>
      <c r="N49" s="23"/>
      <c r="O49" s="23"/>
      <c r="P49" s="23"/>
      <c r="Q49" s="23"/>
      <c r="R49" s="23"/>
    </row>
    <row r="50" spans="1:18" x14ac:dyDescent="0.2">
      <c r="A50" s="23"/>
      <c r="B50" s="8"/>
      <c r="C50" s="28"/>
      <c r="D50" s="28"/>
      <c r="E50" s="28"/>
      <c r="F50" s="28"/>
      <c r="G50" s="28"/>
      <c r="H50" s="28"/>
      <c r="I50" s="28"/>
      <c r="J50" s="8"/>
      <c r="K50" s="23"/>
      <c r="L50" s="41"/>
      <c r="M50" s="38"/>
      <c r="N50" s="23"/>
      <c r="O50" s="23"/>
      <c r="P50" s="23"/>
      <c r="Q50" s="23"/>
      <c r="R50" s="23"/>
    </row>
    <row r="51" spans="1:18" x14ac:dyDescent="0.2">
      <c r="A51" s="23"/>
      <c r="B51" s="11"/>
      <c r="C51" s="9" t="s">
        <v>47</v>
      </c>
      <c r="D51" s="42">
        <f xml:space="preserve"> 10^(  (20*LOG(L16*M16,10) + I15 + D15 - I24 )/40  ) /1000 /1.609344</f>
        <v>10.392001519673737</v>
      </c>
      <c r="E51" s="43" t="s">
        <v>38</v>
      </c>
      <c r="F51" s="11" t="s">
        <v>48</v>
      </c>
      <c r="G51" s="11"/>
      <c r="H51" s="28"/>
      <c r="I51" s="28"/>
      <c r="J51" s="8"/>
      <c r="K51" s="23"/>
      <c r="L51" s="41">
        <f>D51*1.609344</f>
        <v>16.724305293677812</v>
      </c>
      <c r="M51" s="38"/>
      <c r="N51" s="23"/>
      <c r="O51" s="23"/>
      <c r="P51" s="23"/>
      <c r="Q51" s="23"/>
      <c r="R51" s="23"/>
    </row>
    <row r="52" spans="1:18" x14ac:dyDescent="0.2">
      <c r="A52" s="23"/>
      <c r="B52" s="11"/>
      <c r="C52" s="9" t="s">
        <v>49</v>
      </c>
      <c r="D52" s="44">
        <f>10^( (20*LOG(I23,10) - 20*LOG(4*PI(),10) + D15 + I15 - I24) /20  ) /1000 /1.609344</f>
        <v>1026.6903894981451</v>
      </c>
      <c r="E52" s="43" t="s">
        <v>38</v>
      </c>
      <c r="F52" s="11" t="s">
        <v>50</v>
      </c>
      <c r="G52" s="11"/>
      <c r="H52" s="28"/>
      <c r="I52" s="28"/>
      <c r="J52" s="8"/>
      <c r="K52" s="23"/>
      <c r="L52" s="41">
        <f>D52*1.609344</f>
        <v>1652.2980181965029</v>
      </c>
      <c r="M52" s="38"/>
      <c r="N52" s="23"/>
      <c r="O52" s="23"/>
      <c r="P52" s="23"/>
      <c r="Q52" s="23"/>
      <c r="R52" s="23"/>
    </row>
    <row r="53" spans="1:18" x14ac:dyDescent="0.2">
      <c r="A53" s="23"/>
      <c r="B53" s="8"/>
      <c r="C53" s="8"/>
      <c r="D53" s="8"/>
      <c r="E53" s="8"/>
      <c r="F53" s="8"/>
      <c r="G53" s="8"/>
      <c r="H53" s="8"/>
      <c r="I53" s="8"/>
      <c r="J53" s="8"/>
      <c r="K53" s="23"/>
      <c r="L53" s="41"/>
      <c r="M53" s="38"/>
      <c r="N53" s="23"/>
      <c r="O53" s="23"/>
      <c r="P53" s="23"/>
      <c r="Q53" s="23"/>
      <c r="R53" s="23"/>
    </row>
    <row r="54" spans="1:18" x14ac:dyDescent="0.2">
      <c r="A54" s="23"/>
      <c r="B54" s="23"/>
      <c r="C54" s="23"/>
      <c r="D54" s="23"/>
      <c r="E54" s="23"/>
      <c r="F54" s="23"/>
      <c r="G54" s="23"/>
      <c r="H54" s="23"/>
      <c r="I54" s="23"/>
      <c r="J54" s="23"/>
      <c r="K54" s="23"/>
      <c r="L54" s="38"/>
      <c r="M54" s="38"/>
      <c r="N54" s="23"/>
      <c r="O54" s="23"/>
      <c r="P54" s="23"/>
      <c r="Q54" s="23"/>
      <c r="R54" s="23"/>
    </row>
    <row r="55" spans="1:18" x14ac:dyDescent="0.2">
      <c r="A55" s="23"/>
      <c r="B55" s="23"/>
      <c r="C55" s="23"/>
      <c r="D55" s="23"/>
      <c r="E55" s="23"/>
      <c r="F55" s="23"/>
      <c r="G55" s="23"/>
      <c r="H55" s="23"/>
      <c r="I55" s="23"/>
      <c r="J55" s="23"/>
      <c r="K55" s="23"/>
      <c r="L55" s="38"/>
      <c r="M55" s="38"/>
      <c r="N55" s="23"/>
      <c r="O55" s="23"/>
      <c r="P55" s="23"/>
      <c r="Q55" s="23"/>
      <c r="R55" s="23"/>
    </row>
    <row r="56" spans="1:18" ht="81.599999999999994" customHeight="1" x14ac:dyDescent="0.2">
      <c r="A56" s="23"/>
      <c r="B56" s="55" t="s">
        <v>51</v>
      </c>
      <c r="C56" s="55"/>
      <c r="D56" s="55"/>
      <c r="E56" s="55"/>
      <c r="F56" s="55"/>
      <c r="G56" s="55"/>
      <c r="H56" s="55"/>
      <c r="I56" s="55"/>
      <c r="J56" s="55"/>
      <c r="K56" s="23"/>
      <c r="L56" s="38"/>
      <c r="M56" s="38"/>
      <c r="N56" s="23"/>
      <c r="O56" s="23"/>
      <c r="P56" s="23"/>
      <c r="Q56" s="23"/>
      <c r="R56" s="23"/>
    </row>
    <row r="57" spans="1:18" ht="72.599999999999994" customHeight="1" x14ac:dyDescent="0.2">
      <c r="A57" s="23"/>
      <c r="B57" s="23"/>
      <c r="C57" s="23"/>
      <c r="D57" s="23"/>
      <c r="E57" s="23"/>
      <c r="F57" s="23"/>
      <c r="G57" s="23"/>
      <c r="H57" s="23"/>
      <c r="I57" s="23"/>
      <c r="J57" s="23"/>
      <c r="K57" s="23"/>
      <c r="L57" s="38"/>
      <c r="M57" s="38"/>
      <c r="N57" s="23"/>
      <c r="O57" s="23"/>
      <c r="P57" s="23"/>
      <c r="Q57" s="23"/>
      <c r="R57" s="23"/>
    </row>
    <row r="58" spans="1:18" ht="72.599999999999994" customHeight="1" x14ac:dyDescent="0.2">
      <c r="A58" s="23"/>
      <c r="B58" s="23"/>
      <c r="C58" s="23"/>
      <c r="D58" s="23"/>
      <c r="E58" s="23"/>
      <c r="F58" s="23"/>
      <c r="G58" s="23"/>
      <c r="H58" s="23"/>
      <c r="I58" s="23"/>
      <c r="J58" s="23"/>
      <c r="K58" s="23"/>
      <c r="L58" s="38"/>
      <c r="M58" s="38"/>
      <c r="N58" s="23"/>
      <c r="O58" s="23"/>
      <c r="P58" s="23"/>
      <c r="Q58" s="23"/>
      <c r="R58" s="23"/>
    </row>
    <row r="59" spans="1:18" ht="72.599999999999994" customHeight="1" x14ac:dyDescent="0.2">
      <c r="A59" s="23"/>
      <c r="B59" s="23"/>
      <c r="C59" s="23"/>
      <c r="D59" s="23"/>
      <c r="E59" s="23"/>
      <c r="F59" s="23"/>
      <c r="G59" s="23"/>
      <c r="H59" s="23"/>
      <c r="I59" s="23"/>
      <c r="J59" s="23"/>
      <c r="K59" s="23"/>
      <c r="L59" s="38"/>
      <c r="M59" s="38"/>
      <c r="N59" s="23"/>
      <c r="O59" s="23"/>
      <c r="P59" s="23"/>
      <c r="Q59" s="23"/>
      <c r="R59" s="23"/>
    </row>
    <row r="60" spans="1:18" ht="72.599999999999994" customHeight="1" x14ac:dyDescent="0.2">
      <c r="A60" s="23"/>
      <c r="B60" s="23"/>
      <c r="C60" s="23"/>
      <c r="D60" s="23"/>
      <c r="E60" s="23"/>
      <c r="F60" s="23"/>
      <c r="G60" s="23"/>
      <c r="H60" s="23"/>
      <c r="I60" s="23"/>
      <c r="J60" s="23"/>
      <c r="K60" s="23"/>
      <c r="L60" s="38"/>
      <c r="M60" s="38"/>
      <c r="N60" s="23"/>
      <c r="O60" s="23"/>
      <c r="P60" s="23"/>
      <c r="Q60" s="23"/>
      <c r="R60" s="23"/>
    </row>
    <row r="61" spans="1:18" ht="72.599999999999994" customHeight="1" x14ac:dyDescent="0.2">
      <c r="A61" s="23"/>
      <c r="B61" s="23"/>
      <c r="C61" s="23"/>
      <c r="D61" s="23"/>
      <c r="E61" s="23"/>
      <c r="F61" s="23"/>
      <c r="G61" s="23"/>
      <c r="H61" s="23"/>
      <c r="I61" s="23"/>
      <c r="J61" s="23"/>
      <c r="K61" s="23"/>
      <c r="L61" s="38"/>
      <c r="M61" s="38"/>
      <c r="N61" s="23"/>
      <c r="O61" s="23"/>
      <c r="P61" s="23"/>
      <c r="Q61" s="23"/>
      <c r="R61" s="23"/>
    </row>
    <row r="62" spans="1:18" ht="72.599999999999994" customHeight="1" x14ac:dyDescent="0.2">
      <c r="A62" s="23"/>
      <c r="B62" s="23"/>
      <c r="C62" s="23"/>
      <c r="D62" s="23"/>
      <c r="E62" s="23"/>
      <c r="F62" s="23"/>
      <c r="G62" s="23"/>
      <c r="H62" s="23"/>
      <c r="I62" s="23"/>
      <c r="J62" s="23"/>
      <c r="K62" s="23"/>
      <c r="L62" s="38"/>
      <c r="M62" s="38"/>
      <c r="N62" s="23"/>
      <c r="O62" s="23"/>
      <c r="P62" s="23"/>
      <c r="Q62" s="23"/>
      <c r="R62" s="23"/>
    </row>
    <row r="63" spans="1:18" ht="72.599999999999994" customHeight="1" x14ac:dyDescent="0.2">
      <c r="A63" s="23"/>
      <c r="B63" s="23"/>
      <c r="C63" s="23"/>
      <c r="D63" s="23"/>
      <c r="E63" s="23"/>
      <c r="F63" s="23"/>
      <c r="G63" s="23"/>
      <c r="H63" s="23"/>
      <c r="I63" s="23"/>
      <c r="J63" s="23"/>
      <c r="K63" s="23"/>
      <c r="L63" s="38"/>
      <c r="M63" s="38"/>
      <c r="N63" s="23"/>
      <c r="O63" s="23"/>
      <c r="P63" s="23"/>
      <c r="Q63" s="23"/>
      <c r="R63" s="23"/>
    </row>
    <row r="64" spans="1:18" ht="72.599999999999994" customHeight="1" x14ac:dyDescent="0.2">
      <c r="A64" s="23"/>
      <c r="B64" s="23"/>
      <c r="C64" s="23"/>
      <c r="D64" s="23"/>
      <c r="E64" s="23"/>
      <c r="F64" s="23"/>
      <c r="G64" s="23"/>
      <c r="H64" s="23"/>
      <c r="I64" s="23"/>
      <c r="J64" s="23"/>
      <c r="K64" s="23"/>
      <c r="L64" s="38"/>
      <c r="M64" s="38"/>
      <c r="N64" s="23"/>
      <c r="O64" s="23"/>
      <c r="P64" s="23"/>
      <c r="Q64" s="23"/>
      <c r="R64" s="23"/>
    </row>
    <row r="65" spans="1:18" ht="72.599999999999994" customHeight="1" x14ac:dyDescent="0.2">
      <c r="A65" s="23"/>
      <c r="B65" s="23"/>
      <c r="C65" s="23"/>
      <c r="D65" s="23"/>
      <c r="E65" s="23"/>
      <c r="F65" s="23"/>
      <c r="G65" s="23"/>
      <c r="H65" s="23"/>
      <c r="I65" s="23"/>
      <c r="J65" s="23"/>
      <c r="K65" s="23"/>
      <c r="L65" s="38"/>
      <c r="M65" s="38"/>
      <c r="N65" s="23"/>
      <c r="O65" s="23"/>
      <c r="P65" s="23"/>
      <c r="Q65" s="23"/>
      <c r="R65" s="23"/>
    </row>
    <row r="66" spans="1:18" ht="72.599999999999994" customHeight="1" x14ac:dyDescent="0.2">
      <c r="A66" s="23"/>
      <c r="B66" s="23"/>
      <c r="C66" s="23"/>
      <c r="D66" s="23"/>
      <c r="E66" s="23"/>
      <c r="F66" s="23"/>
      <c r="G66" s="23"/>
      <c r="H66" s="23"/>
      <c r="I66" s="23"/>
      <c r="J66" s="23"/>
      <c r="K66" s="23"/>
      <c r="L66" s="38"/>
      <c r="M66" s="38"/>
      <c r="N66" s="23"/>
      <c r="O66" s="23"/>
      <c r="P66" s="23"/>
      <c r="Q66" s="23"/>
      <c r="R66" s="23"/>
    </row>
    <row r="67" spans="1:18" ht="72.599999999999994" customHeight="1" x14ac:dyDescent="0.2">
      <c r="A67" s="23"/>
      <c r="B67" s="23"/>
      <c r="C67" s="23"/>
      <c r="D67" s="23"/>
      <c r="E67" s="23"/>
      <c r="F67" s="23"/>
      <c r="G67" s="23"/>
      <c r="H67" s="23"/>
      <c r="I67" s="23"/>
      <c r="J67" s="23"/>
      <c r="K67" s="23"/>
      <c r="L67" s="38"/>
      <c r="M67" s="38"/>
      <c r="N67" s="23"/>
      <c r="O67" s="23"/>
      <c r="P67" s="23"/>
      <c r="Q67" s="23"/>
      <c r="R67" s="23"/>
    </row>
    <row r="68" spans="1:18" ht="72.599999999999994" customHeight="1" x14ac:dyDescent="0.2">
      <c r="A68" s="23"/>
      <c r="B68" s="23"/>
      <c r="C68" s="23"/>
      <c r="D68" s="23"/>
      <c r="E68" s="23"/>
      <c r="F68" s="23"/>
      <c r="G68" s="23"/>
      <c r="H68" s="23"/>
      <c r="I68" s="23"/>
      <c r="J68" s="23"/>
      <c r="K68" s="23"/>
      <c r="L68" s="38"/>
      <c r="M68" s="38"/>
      <c r="N68" s="23"/>
      <c r="O68" s="23"/>
      <c r="P68" s="23"/>
      <c r="Q68" s="23"/>
      <c r="R68" s="23"/>
    </row>
    <row r="69" spans="1:18" ht="72.599999999999994" customHeight="1" x14ac:dyDescent="0.2">
      <c r="A69" s="23"/>
      <c r="B69" s="23"/>
      <c r="C69" s="23"/>
      <c r="D69" s="23"/>
      <c r="E69" s="23"/>
      <c r="F69" s="23"/>
      <c r="G69" s="23"/>
      <c r="H69" s="23"/>
      <c r="I69" s="23"/>
      <c r="J69" s="23"/>
      <c r="K69" s="23"/>
      <c r="L69" s="38"/>
      <c r="M69" s="38"/>
      <c r="N69" s="23"/>
      <c r="O69" s="23"/>
      <c r="P69" s="23"/>
      <c r="Q69" s="23"/>
      <c r="R69" s="23"/>
    </row>
    <row r="70" spans="1:18" ht="72.599999999999994" customHeight="1" x14ac:dyDescent="0.2">
      <c r="A70" s="23"/>
      <c r="B70" s="23"/>
      <c r="C70" s="23"/>
      <c r="D70" s="23"/>
      <c r="E70" s="23"/>
      <c r="F70" s="23"/>
      <c r="G70" s="23"/>
      <c r="H70" s="23"/>
      <c r="I70" s="23"/>
      <c r="J70" s="23"/>
      <c r="K70" s="23"/>
      <c r="L70" s="38"/>
      <c r="M70" s="38"/>
      <c r="N70" s="23"/>
      <c r="O70" s="23"/>
      <c r="P70" s="23"/>
      <c r="Q70" s="23"/>
      <c r="R70" s="23"/>
    </row>
    <row r="71" spans="1:18" ht="72.599999999999994" customHeight="1" x14ac:dyDescent="0.2">
      <c r="A71" s="23"/>
      <c r="B71" s="23"/>
      <c r="C71" s="23"/>
      <c r="D71" s="23"/>
      <c r="E71" s="23"/>
      <c r="F71" s="23"/>
      <c r="G71" s="23"/>
      <c r="H71" s="23"/>
      <c r="I71" s="23"/>
      <c r="J71" s="23"/>
      <c r="K71" s="23"/>
      <c r="L71" s="38"/>
      <c r="M71" s="38"/>
      <c r="N71" s="23"/>
      <c r="O71" s="23"/>
      <c r="P71" s="23"/>
      <c r="Q71" s="23"/>
      <c r="R71" s="23"/>
    </row>
    <row r="72" spans="1:18" ht="72.599999999999994" customHeight="1" x14ac:dyDescent="0.2">
      <c r="A72" s="23"/>
      <c r="B72" s="23"/>
      <c r="C72" s="23"/>
      <c r="D72" s="23"/>
      <c r="E72" s="23"/>
      <c r="F72" s="23"/>
      <c r="G72" s="23"/>
      <c r="H72" s="23"/>
      <c r="I72" s="23"/>
      <c r="J72" s="23"/>
      <c r="K72" s="23"/>
      <c r="L72" s="38"/>
      <c r="M72" s="38"/>
      <c r="N72" s="23"/>
      <c r="O72" s="23"/>
      <c r="P72" s="23"/>
      <c r="Q72" s="23"/>
      <c r="R72" s="23"/>
    </row>
    <row r="73" spans="1:18" ht="72.599999999999994" customHeight="1" x14ac:dyDescent="0.2">
      <c r="A73" s="23"/>
      <c r="B73" s="23"/>
      <c r="C73" s="23"/>
      <c r="D73" s="23"/>
      <c r="E73" s="23"/>
      <c r="F73" s="23"/>
      <c r="G73" s="23"/>
      <c r="H73" s="23"/>
      <c r="I73" s="23"/>
      <c r="J73" s="23"/>
      <c r="K73" s="23"/>
      <c r="L73" s="38"/>
      <c r="M73" s="38"/>
      <c r="N73" s="23"/>
      <c r="O73" s="23"/>
      <c r="P73" s="23"/>
      <c r="Q73" s="23"/>
      <c r="R73" s="23"/>
    </row>
    <row r="74" spans="1:18" ht="72.599999999999994" customHeight="1" x14ac:dyDescent="0.2">
      <c r="A74" s="23"/>
      <c r="B74" s="23"/>
      <c r="C74" s="23"/>
      <c r="D74" s="23"/>
      <c r="E74" s="23"/>
      <c r="F74" s="23"/>
      <c r="G74" s="23"/>
      <c r="H74" s="23"/>
      <c r="I74" s="23"/>
      <c r="J74" s="23"/>
      <c r="K74" s="23"/>
      <c r="L74" s="38"/>
      <c r="M74" s="38"/>
      <c r="N74" s="23"/>
      <c r="O74" s="23"/>
      <c r="P74" s="23"/>
      <c r="Q74" s="23"/>
      <c r="R74" s="23"/>
    </row>
    <row r="75" spans="1:18" ht="72.599999999999994" customHeight="1" x14ac:dyDescent="0.2">
      <c r="A75" s="23"/>
      <c r="B75" s="23"/>
      <c r="C75" s="23"/>
      <c r="D75" s="23"/>
      <c r="E75" s="23"/>
      <c r="F75" s="23"/>
      <c r="G75" s="23"/>
      <c r="H75" s="23"/>
      <c r="I75" s="23"/>
      <c r="J75" s="23"/>
      <c r="K75" s="23"/>
      <c r="L75" s="38"/>
      <c r="M75" s="38"/>
      <c r="N75" s="23"/>
      <c r="O75" s="23"/>
      <c r="P75" s="23"/>
      <c r="Q75" s="23"/>
      <c r="R75" s="23"/>
    </row>
    <row r="76" spans="1:18" ht="72.599999999999994" customHeight="1" x14ac:dyDescent="0.2">
      <c r="A76" s="23"/>
      <c r="B76" s="23"/>
      <c r="C76" s="23"/>
      <c r="D76" s="23"/>
      <c r="E76" s="23"/>
      <c r="F76" s="23"/>
      <c r="G76" s="23"/>
      <c r="H76" s="23"/>
      <c r="I76" s="23"/>
      <c r="J76" s="23"/>
      <c r="K76" s="23"/>
      <c r="L76" s="38"/>
      <c r="M76" s="38"/>
      <c r="N76" s="23"/>
      <c r="O76" s="23"/>
      <c r="P76" s="23"/>
      <c r="Q76" s="23"/>
      <c r="R76" s="23"/>
    </row>
    <row r="77" spans="1:18" ht="72.599999999999994" customHeight="1" x14ac:dyDescent="0.2">
      <c r="A77" s="23"/>
      <c r="B77" s="23"/>
      <c r="C77" s="23"/>
      <c r="D77" s="23"/>
      <c r="E77" s="23"/>
      <c r="F77" s="23"/>
      <c r="G77" s="23"/>
      <c r="H77" s="23"/>
      <c r="I77" s="23"/>
      <c r="J77" s="23"/>
      <c r="K77" s="23"/>
      <c r="L77" s="38"/>
      <c r="M77" s="38"/>
      <c r="N77" s="23"/>
      <c r="O77" s="23"/>
      <c r="P77" s="23"/>
      <c r="Q77" s="23"/>
      <c r="R77" s="23"/>
    </row>
    <row r="78" spans="1:18" ht="72.599999999999994" customHeight="1" x14ac:dyDescent="0.2">
      <c r="A78" s="23"/>
      <c r="B78" s="23"/>
      <c r="C78" s="23"/>
      <c r="D78" s="23"/>
      <c r="E78" s="23"/>
      <c r="F78" s="23"/>
      <c r="G78" s="23"/>
      <c r="H78" s="23"/>
      <c r="I78" s="23"/>
      <c r="J78" s="23"/>
      <c r="K78" s="23"/>
      <c r="L78" s="38"/>
      <c r="M78" s="38"/>
      <c r="N78" s="23"/>
      <c r="O78" s="23"/>
      <c r="P78" s="23"/>
      <c r="Q78" s="23"/>
      <c r="R78" s="23"/>
    </row>
    <row r="79" spans="1:18" ht="72.599999999999994" customHeight="1" x14ac:dyDescent="0.2">
      <c r="A79" s="23"/>
      <c r="B79" s="23"/>
      <c r="C79" s="23"/>
      <c r="D79" s="23"/>
      <c r="E79" s="23"/>
      <c r="F79" s="23"/>
      <c r="G79" s="23"/>
      <c r="H79" s="23"/>
      <c r="I79" s="23"/>
      <c r="J79" s="23"/>
      <c r="K79" s="23"/>
      <c r="L79" s="38"/>
      <c r="M79" s="38"/>
      <c r="N79" s="23"/>
      <c r="O79" s="23"/>
      <c r="P79" s="23"/>
      <c r="Q79" s="23"/>
      <c r="R79" s="23"/>
    </row>
    <row r="80" spans="1:18" ht="72.599999999999994" customHeight="1" x14ac:dyDescent="0.2">
      <c r="A80" s="23"/>
      <c r="B80" s="23"/>
      <c r="C80" s="23"/>
      <c r="D80" s="23"/>
      <c r="E80" s="23"/>
      <c r="F80" s="23"/>
      <c r="G80" s="23"/>
      <c r="H80" s="23"/>
      <c r="I80" s="23"/>
      <c r="J80" s="23"/>
      <c r="K80" s="23"/>
      <c r="L80" s="38"/>
      <c r="M80" s="38"/>
      <c r="N80" s="23"/>
      <c r="O80" s="23"/>
      <c r="P80" s="23"/>
      <c r="Q80" s="23"/>
      <c r="R80" s="23"/>
    </row>
    <row r="81" spans="1:18" ht="72.599999999999994" customHeight="1" x14ac:dyDescent="0.2">
      <c r="A81" s="23"/>
      <c r="B81" s="23"/>
      <c r="C81" s="23"/>
      <c r="D81" s="23"/>
      <c r="E81" s="23"/>
      <c r="F81" s="23"/>
      <c r="G81" s="23"/>
      <c r="H81" s="23"/>
      <c r="I81" s="23"/>
      <c r="J81" s="23"/>
      <c r="K81" s="23"/>
      <c r="L81" s="38"/>
      <c r="M81" s="38"/>
      <c r="N81" s="23"/>
      <c r="O81" s="23"/>
      <c r="P81" s="23"/>
      <c r="Q81" s="23"/>
      <c r="R81" s="23"/>
    </row>
    <row r="82" spans="1:18" ht="72.599999999999994" customHeight="1" x14ac:dyDescent="0.2">
      <c r="A82" s="23"/>
      <c r="B82" s="23"/>
      <c r="C82" s="23"/>
      <c r="D82" s="23"/>
      <c r="E82" s="23"/>
      <c r="F82" s="23"/>
      <c r="G82" s="23"/>
      <c r="H82" s="23"/>
      <c r="I82" s="23"/>
      <c r="J82" s="23"/>
      <c r="K82" s="23"/>
      <c r="L82" s="38"/>
      <c r="M82" s="38"/>
      <c r="N82" s="23"/>
      <c r="O82" s="23"/>
      <c r="P82" s="23"/>
      <c r="Q82" s="23"/>
      <c r="R82" s="23"/>
    </row>
    <row r="83" spans="1:18" ht="72.599999999999994" customHeight="1" x14ac:dyDescent="0.2">
      <c r="A83" s="23"/>
      <c r="B83" s="23"/>
      <c r="C83" s="23"/>
      <c r="D83" s="23"/>
      <c r="E83" s="23"/>
      <c r="F83" s="23"/>
      <c r="G83" s="23"/>
      <c r="H83" s="23"/>
      <c r="I83" s="23"/>
      <c r="J83" s="23"/>
      <c r="K83" s="23"/>
      <c r="L83" s="38"/>
      <c r="M83" s="38"/>
      <c r="N83" s="23"/>
      <c r="O83" s="23"/>
      <c r="P83" s="23"/>
      <c r="Q83" s="23"/>
      <c r="R83" s="23"/>
    </row>
    <row r="84" spans="1:18" ht="72.599999999999994" customHeight="1" x14ac:dyDescent="0.2">
      <c r="A84" s="23"/>
      <c r="B84" s="23"/>
      <c r="C84" s="23"/>
      <c r="D84" s="23"/>
      <c r="E84" s="23"/>
      <c r="F84" s="23"/>
      <c r="G84" s="23"/>
      <c r="H84" s="23"/>
      <c r="I84" s="23"/>
      <c r="J84" s="23"/>
      <c r="K84" s="23"/>
      <c r="L84" s="38"/>
      <c r="M84" s="38"/>
      <c r="N84" s="23"/>
      <c r="O84" s="23"/>
      <c r="P84" s="23"/>
      <c r="Q84" s="23"/>
      <c r="R84" s="23"/>
    </row>
    <row r="85" spans="1:18" ht="72.599999999999994" customHeight="1" x14ac:dyDescent="0.2">
      <c r="A85" s="23"/>
      <c r="B85" s="23"/>
      <c r="C85" s="23"/>
      <c r="D85" s="23"/>
      <c r="E85" s="23"/>
      <c r="F85" s="23"/>
      <c r="G85" s="23"/>
      <c r="H85" s="23"/>
      <c r="I85" s="23"/>
      <c r="J85" s="23"/>
      <c r="K85" s="23"/>
      <c r="L85" s="38"/>
      <c r="M85" s="38"/>
      <c r="N85" s="23"/>
      <c r="O85" s="23"/>
      <c r="P85" s="23"/>
      <c r="Q85" s="23"/>
      <c r="R85" s="23"/>
    </row>
    <row r="86" spans="1:18" ht="72.599999999999994" customHeight="1" x14ac:dyDescent="0.2">
      <c r="A86" s="23"/>
      <c r="B86" s="23"/>
      <c r="C86" s="23"/>
      <c r="D86" s="23"/>
      <c r="E86" s="23"/>
      <c r="F86" s="23"/>
      <c r="G86" s="23"/>
      <c r="H86" s="23"/>
      <c r="I86" s="23"/>
      <c r="J86" s="23"/>
      <c r="K86" s="23"/>
      <c r="L86" s="38"/>
      <c r="M86" s="38"/>
      <c r="N86" s="23"/>
      <c r="O86" s="23"/>
      <c r="P86" s="23"/>
      <c r="Q86" s="23"/>
      <c r="R86" s="23"/>
    </row>
    <row r="87" spans="1:18" ht="72.599999999999994" customHeight="1" x14ac:dyDescent="0.2">
      <c r="A87" s="23"/>
      <c r="B87" s="23"/>
      <c r="C87" s="23"/>
      <c r="D87" s="23"/>
      <c r="E87" s="23"/>
      <c r="F87" s="23"/>
      <c r="G87" s="23"/>
      <c r="H87" s="23"/>
      <c r="I87" s="23"/>
      <c r="J87" s="23"/>
      <c r="K87" s="23"/>
      <c r="L87" s="38"/>
      <c r="M87" s="38"/>
      <c r="N87" s="23"/>
      <c r="O87" s="23"/>
      <c r="P87" s="23"/>
      <c r="Q87" s="23"/>
      <c r="R87" s="23"/>
    </row>
    <row r="88" spans="1:18" ht="72.599999999999994" customHeight="1" x14ac:dyDescent="0.2">
      <c r="A88" s="23"/>
      <c r="B88" s="23"/>
      <c r="C88" s="23"/>
      <c r="D88" s="23"/>
      <c r="E88" s="23"/>
      <c r="F88" s="23"/>
      <c r="G88" s="23"/>
      <c r="H88" s="23"/>
      <c r="I88" s="23"/>
      <c r="J88" s="23"/>
      <c r="K88" s="23"/>
      <c r="L88" s="38"/>
      <c r="M88" s="38"/>
      <c r="N88" s="23"/>
      <c r="O88" s="23"/>
      <c r="P88" s="23"/>
      <c r="Q88" s="23"/>
      <c r="R88" s="23"/>
    </row>
  </sheetData>
  <sheetProtection sheet="1" objects="1" scenarios="1" selectLockedCells="1"/>
  <mergeCells count="11">
    <mergeCell ref="B38:D38"/>
    <mergeCell ref="B39:D41"/>
    <mergeCell ref="B43:D43"/>
    <mergeCell ref="B44:D46"/>
    <mergeCell ref="B56:J56"/>
    <mergeCell ref="B2:J2"/>
    <mergeCell ref="B3:J10"/>
    <mergeCell ref="B11:J11"/>
    <mergeCell ref="B20:J20"/>
    <mergeCell ref="B33:D33"/>
    <mergeCell ref="B34:D37"/>
  </mergeCells>
  <conditionalFormatting sqref="B20 F20">
    <cfRule type="cellIs" dxfId="4" priority="1" stopIfTrue="1" operator="notEqual">
      <formula>" "</formula>
    </cfRule>
  </conditionalFormatting>
  <conditionalFormatting sqref="D16">
    <cfRule type="cellIs" dxfId="3" priority="2" stopIfTrue="1" operator="notBetween">
      <formula>100</formula>
      <formula>660</formula>
    </cfRule>
  </conditionalFormatting>
  <conditionalFormatting sqref="D23">
    <cfRule type="cellIs" dxfId="2" priority="3" stopIfTrue="1" operator="notBetween">
      <formula>140</formula>
      <formula>1500</formula>
    </cfRule>
  </conditionalFormatting>
  <conditionalFormatting sqref="I16">
    <cfRule type="cellIs" dxfId="1" priority="4" stopIfTrue="1" operator="notBetween">
      <formula>3</formula>
      <formula>33</formula>
    </cfRule>
  </conditionalFormatting>
  <pageMargins left="0.78749999999999998" right="0.78749999999999998" top="1.0249999999999999" bottom="1.0249999999999999" header="0.78749999999999998" footer="0.78749999999999998"/>
  <pageSetup paperSize="9" orientation="portrait" useFirstPageNumber="1" horizontalDpi="300" verticalDpi="300" r:id="rId1"/>
  <headerFooter alignWithMargins="0">
    <oddHeader>&amp;C&amp;A</oddHeader>
    <oddFooter>&amp;CSeite &amp;P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5"/>
  <sheetViews>
    <sheetView showGridLines="0" showRowColHeaders="0" workbookViewId="0">
      <selection activeCell="D15" sqref="D15"/>
    </sheetView>
  </sheetViews>
  <sheetFormatPr baseColWidth="10" defaultColWidth="11.5703125" defaultRowHeight="12.75" x14ac:dyDescent="0.2"/>
  <cols>
    <col min="1" max="1" width="3" customWidth="1"/>
    <col min="2" max="2" width="12.28515625" customWidth="1"/>
    <col min="4" max="4" width="7.28515625" customWidth="1"/>
    <col min="5" max="5" width="5.85546875" customWidth="1"/>
    <col min="6" max="6" width="5.7109375" customWidth="1"/>
    <col min="7" max="7" width="12.28515625" customWidth="1"/>
    <col min="9" max="9" width="6.5703125" customWidth="1"/>
    <col min="10" max="10" width="5.42578125" customWidth="1"/>
    <col min="11" max="11" width="9.140625" customWidth="1"/>
    <col min="12" max="13" width="0" hidden="1" customWidth="1"/>
    <col min="14" max="22" width="19.42578125" customWidth="1"/>
  </cols>
  <sheetData>
    <row r="1" spans="1:22" x14ac:dyDescent="0.2">
      <c r="A1" s="2"/>
      <c r="B1" s="2"/>
      <c r="C1" s="2"/>
      <c r="D1" s="2"/>
      <c r="E1" s="2"/>
      <c r="F1" s="2"/>
      <c r="G1" s="2"/>
      <c r="H1" s="2"/>
      <c r="I1" s="2"/>
      <c r="J1" s="2"/>
      <c r="K1" s="2"/>
      <c r="L1" s="2"/>
      <c r="M1" s="2"/>
      <c r="N1" s="2"/>
      <c r="O1" s="2"/>
      <c r="P1" s="2"/>
      <c r="Q1" s="2"/>
      <c r="R1" s="2"/>
      <c r="S1" s="2"/>
      <c r="T1" s="2"/>
      <c r="U1" s="2"/>
      <c r="V1" s="2"/>
    </row>
    <row r="2" spans="1:22" ht="15.75" x14ac:dyDescent="0.25">
      <c r="A2" s="2"/>
      <c r="B2" s="4" t="s">
        <v>52</v>
      </c>
      <c r="C2" s="45"/>
      <c r="D2" s="45"/>
      <c r="E2" s="45"/>
      <c r="F2" s="45"/>
      <c r="G2" s="45"/>
      <c r="H2" s="45"/>
      <c r="I2" s="45"/>
      <c r="J2" s="45"/>
      <c r="K2" s="2"/>
      <c r="L2" s="2"/>
      <c r="M2" s="2"/>
      <c r="N2" s="2"/>
      <c r="O2" s="2"/>
      <c r="P2" s="2"/>
      <c r="Q2" s="2"/>
      <c r="R2" s="2"/>
      <c r="S2" s="2"/>
      <c r="T2" s="2"/>
      <c r="U2" s="2"/>
      <c r="V2" s="2"/>
    </row>
    <row r="3" spans="1:22" ht="15.6" customHeight="1" x14ac:dyDescent="0.2">
      <c r="A3" s="2"/>
      <c r="B3" s="49" t="s">
        <v>53</v>
      </c>
      <c r="C3" s="49"/>
      <c r="D3" s="49"/>
      <c r="E3" s="49"/>
      <c r="F3" s="49"/>
      <c r="G3" s="49"/>
      <c r="H3" s="49"/>
      <c r="I3" s="49"/>
      <c r="J3" s="49"/>
      <c r="K3" s="2"/>
      <c r="L3" s="2"/>
      <c r="M3" s="2"/>
      <c r="N3" s="2"/>
      <c r="O3" s="2"/>
      <c r="P3" s="2"/>
      <c r="Q3" s="2"/>
      <c r="R3" s="2"/>
      <c r="S3" s="2"/>
      <c r="T3" s="2"/>
      <c r="U3" s="2"/>
      <c r="V3" s="2"/>
    </row>
    <row r="4" spans="1:22" ht="15.6" customHeight="1" x14ac:dyDescent="0.2">
      <c r="A4" s="2"/>
      <c r="B4" s="49"/>
      <c r="C4" s="49"/>
      <c r="D4" s="49"/>
      <c r="E4" s="49"/>
      <c r="F4" s="49"/>
      <c r="G4" s="49"/>
      <c r="H4" s="49"/>
      <c r="I4" s="49"/>
      <c r="J4" s="49"/>
      <c r="K4" s="2"/>
      <c r="L4" s="2"/>
      <c r="M4" s="2"/>
      <c r="N4" s="2"/>
      <c r="O4" s="2"/>
      <c r="P4" s="2"/>
      <c r="Q4" s="2"/>
      <c r="R4" s="2"/>
      <c r="S4" s="2"/>
      <c r="T4" s="2"/>
      <c r="U4" s="2"/>
      <c r="V4" s="2"/>
    </row>
    <row r="5" spans="1:22" ht="15.6" customHeight="1" x14ac:dyDescent="0.2">
      <c r="A5" s="2"/>
      <c r="B5" s="49"/>
      <c r="C5" s="49"/>
      <c r="D5" s="49"/>
      <c r="E5" s="49"/>
      <c r="F5" s="49"/>
      <c r="G5" s="49"/>
      <c r="H5" s="49"/>
      <c r="I5" s="49"/>
      <c r="J5" s="49"/>
      <c r="K5" s="2"/>
      <c r="L5" s="2"/>
      <c r="M5" s="2"/>
      <c r="N5" s="2"/>
      <c r="O5" s="2"/>
      <c r="P5" s="2"/>
      <c r="Q5" s="2"/>
      <c r="R5" s="2"/>
      <c r="S5" s="2"/>
      <c r="T5" s="2"/>
      <c r="U5" s="2"/>
      <c r="V5" s="2"/>
    </row>
    <row r="6" spans="1:22" ht="15.6" customHeight="1" x14ac:dyDescent="0.2">
      <c r="A6" s="2"/>
      <c r="B6" s="49"/>
      <c r="C6" s="49"/>
      <c r="D6" s="49"/>
      <c r="E6" s="49"/>
      <c r="F6" s="49"/>
      <c r="G6" s="49"/>
      <c r="H6" s="49"/>
      <c r="I6" s="49"/>
      <c r="J6" s="49"/>
      <c r="K6" s="2"/>
      <c r="L6" s="2"/>
      <c r="M6" s="2"/>
      <c r="N6" s="2"/>
      <c r="O6" s="2"/>
      <c r="P6" s="2"/>
      <c r="Q6" s="2"/>
      <c r="R6" s="2"/>
      <c r="S6" s="2"/>
      <c r="T6" s="2"/>
      <c r="U6" s="2"/>
      <c r="V6" s="2"/>
    </row>
    <row r="7" spans="1:22" ht="15.6" customHeight="1" x14ac:dyDescent="0.2">
      <c r="A7" s="2"/>
      <c r="B7" s="49"/>
      <c r="C7" s="49"/>
      <c r="D7" s="49"/>
      <c r="E7" s="49"/>
      <c r="F7" s="49"/>
      <c r="G7" s="49"/>
      <c r="H7" s="49"/>
      <c r="I7" s="49"/>
      <c r="J7" s="49"/>
      <c r="K7" s="2"/>
      <c r="L7" s="2"/>
      <c r="M7" s="2"/>
      <c r="N7" s="2"/>
      <c r="O7" s="2"/>
      <c r="P7" s="2"/>
      <c r="Q7" s="2"/>
      <c r="R7" s="2"/>
      <c r="S7" s="2"/>
      <c r="T7" s="2"/>
      <c r="U7" s="2"/>
      <c r="V7" s="2"/>
    </row>
    <row r="8" spans="1:22" ht="15.6" customHeight="1" x14ac:dyDescent="0.2">
      <c r="A8" s="2"/>
      <c r="B8" s="49"/>
      <c r="C8" s="49"/>
      <c r="D8" s="49"/>
      <c r="E8" s="49"/>
      <c r="F8" s="49"/>
      <c r="G8" s="49"/>
      <c r="H8" s="49"/>
      <c r="I8" s="49"/>
      <c r="J8" s="49"/>
      <c r="K8" s="2"/>
      <c r="L8" s="2"/>
      <c r="M8" s="2"/>
      <c r="N8" s="2"/>
      <c r="O8" s="2"/>
      <c r="P8" s="2"/>
      <c r="Q8" s="2"/>
      <c r="R8" s="2"/>
      <c r="S8" s="2"/>
      <c r="T8" s="2"/>
      <c r="U8" s="2"/>
      <c r="V8" s="2"/>
    </row>
    <row r="9" spans="1:22" ht="15.6" customHeight="1" x14ac:dyDescent="0.2">
      <c r="A9" s="2"/>
      <c r="B9" s="49"/>
      <c r="C9" s="49"/>
      <c r="D9" s="49"/>
      <c r="E9" s="49"/>
      <c r="F9" s="49"/>
      <c r="G9" s="49"/>
      <c r="H9" s="49"/>
      <c r="I9" s="49"/>
      <c r="J9" s="49"/>
      <c r="K9" s="2"/>
      <c r="L9" s="2"/>
      <c r="M9" s="2"/>
      <c r="N9" s="2"/>
      <c r="O9" s="2"/>
      <c r="P9" s="2"/>
      <c r="Q9" s="2"/>
      <c r="R9" s="2"/>
      <c r="S9" s="2"/>
      <c r="T9" s="2"/>
      <c r="U9" s="2"/>
      <c r="V9" s="2"/>
    </row>
    <row r="10" spans="1:22" ht="21.95" customHeight="1" x14ac:dyDescent="0.2">
      <c r="A10" s="2"/>
      <c r="B10" s="49"/>
      <c r="C10" s="49"/>
      <c r="D10" s="49"/>
      <c r="E10" s="49"/>
      <c r="F10" s="49"/>
      <c r="G10" s="49"/>
      <c r="H10" s="49"/>
      <c r="I10" s="49"/>
      <c r="J10" s="49"/>
      <c r="K10" s="2"/>
      <c r="L10" s="2"/>
      <c r="M10" s="2"/>
      <c r="N10" s="2"/>
      <c r="O10" s="2"/>
      <c r="P10" s="2"/>
      <c r="Q10" s="2"/>
      <c r="R10" s="2"/>
      <c r="S10" s="2"/>
      <c r="T10" s="2"/>
      <c r="U10" s="2"/>
      <c r="V10" s="2"/>
    </row>
    <row r="11" spans="1:22" ht="68.650000000000006" customHeight="1" x14ac:dyDescent="0.2">
      <c r="A11" s="2"/>
      <c r="B11" s="50" t="s">
        <v>2</v>
      </c>
      <c r="C11" s="50"/>
      <c r="D11" s="50"/>
      <c r="E11" s="50"/>
      <c r="F11" s="50"/>
      <c r="G11" s="50"/>
      <c r="H11" s="50"/>
      <c r="I11" s="50"/>
      <c r="J11" s="50"/>
      <c r="K11" s="2"/>
      <c r="L11" s="2"/>
      <c r="M11" s="2"/>
      <c r="N11" s="2"/>
      <c r="O11" s="2"/>
      <c r="P11" s="2"/>
      <c r="Q11" s="2"/>
      <c r="R11" s="2"/>
      <c r="S11" s="2"/>
      <c r="T11" s="2"/>
      <c r="U11" s="2"/>
      <c r="V11" s="2"/>
    </row>
    <row r="12" spans="1:22" x14ac:dyDescent="0.2">
      <c r="A12" s="2"/>
      <c r="B12" s="2"/>
      <c r="C12" s="3"/>
      <c r="D12" s="2"/>
      <c r="E12" s="2"/>
      <c r="F12" s="2"/>
      <c r="G12" s="2"/>
      <c r="H12" s="2"/>
      <c r="I12" s="2"/>
      <c r="J12" s="2"/>
      <c r="K12" s="2"/>
      <c r="L12" s="2"/>
      <c r="M12" s="2"/>
      <c r="N12" s="2"/>
      <c r="O12" s="2"/>
      <c r="P12" s="2"/>
      <c r="Q12" s="2"/>
      <c r="R12" s="2"/>
      <c r="S12" s="2"/>
      <c r="T12" s="2"/>
      <c r="U12" s="2"/>
      <c r="V12" s="2"/>
    </row>
    <row r="13" spans="1:22" ht="15" x14ac:dyDescent="0.25">
      <c r="A13" s="2"/>
      <c r="B13" s="5" t="s">
        <v>3</v>
      </c>
      <c r="C13" s="6"/>
      <c r="D13" s="6"/>
      <c r="E13" s="6"/>
      <c r="F13" s="2"/>
      <c r="G13" s="5" t="s">
        <v>4</v>
      </c>
      <c r="H13" s="6"/>
      <c r="I13" s="6"/>
      <c r="J13" s="6"/>
      <c r="K13" s="2"/>
      <c r="L13" s="2"/>
      <c r="M13" s="2"/>
      <c r="N13" s="2"/>
      <c r="O13" s="2"/>
      <c r="P13" s="2"/>
      <c r="Q13" s="2"/>
      <c r="R13" s="2"/>
      <c r="S13" s="2"/>
      <c r="T13" s="2"/>
      <c r="U13" s="2"/>
      <c r="V13" s="2"/>
    </row>
    <row r="14" spans="1:22" ht="15" x14ac:dyDescent="0.25">
      <c r="A14" s="2"/>
      <c r="B14" s="7"/>
      <c r="C14" s="8"/>
      <c r="D14" s="8"/>
      <c r="E14" s="8"/>
      <c r="F14" s="2"/>
      <c r="G14" s="7"/>
      <c r="H14" s="8"/>
      <c r="I14" s="8"/>
      <c r="J14" s="8"/>
      <c r="K14" s="2"/>
      <c r="L14" s="2"/>
      <c r="M14" s="2"/>
      <c r="N14" s="2"/>
      <c r="O14" s="2"/>
      <c r="P14" s="2"/>
      <c r="Q14" s="2"/>
      <c r="R14" s="2"/>
      <c r="S14" s="2"/>
      <c r="T14" s="2"/>
      <c r="U14" s="2"/>
      <c r="V14" s="2"/>
    </row>
    <row r="15" spans="1:22" x14ac:dyDescent="0.2">
      <c r="A15" s="2"/>
      <c r="B15" s="8"/>
      <c r="C15" s="9" t="s">
        <v>5</v>
      </c>
      <c r="D15" s="10">
        <v>-3</v>
      </c>
      <c r="E15" s="11" t="s">
        <v>6</v>
      </c>
      <c r="F15" s="2"/>
      <c r="G15" s="8"/>
      <c r="H15" s="9" t="str">
        <f>C15</f>
        <v xml:space="preserve">Antenna Gain: </v>
      </c>
      <c r="I15" s="10">
        <v>-3</v>
      </c>
      <c r="J15" s="11" t="s">
        <v>6</v>
      </c>
      <c r="K15" s="2"/>
      <c r="L15" s="3" t="s">
        <v>7</v>
      </c>
      <c r="M15" s="3" t="s">
        <v>7</v>
      </c>
      <c r="N15" s="2"/>
      <c r="O15" s="2"/>
      <c r="P15" s="2"/>
      <c r="Q15" s="2"/>
      <c r="R15" s="2"/>
      <c r="S15" s="2"/>
      <c r="T15" s="2"/>
      <c r="U15" s="2"/>
      <c r="V15" s="2"/>
    </row>
    <row r="16" spans="1:22" x14ac:dyDescent="0.2">
      <c r="A16" s="2"/>
      <c r="B16" s="8"/>
      <c r="C16" s="9" t="s">
        <v>8</v>
      </c>
      <c r="D16" s="12">
        <v>100</v>
      </c>
      <c r="E16" s="11" t="s">
        <v>9</v>
      </c>
      <c r="F16" s="2"/>
      <c r="G16" s="8"/>
      <c r="H16" s="9" t="str">
        <f>C16</f>
        <v xml:space="preserve">Antenna Height: </v>
      </c>
      <c r="I16" s="12">
        <v>3</v>
      </c>
      <c r="J16" s="11" t="s">
        <v>9</v>
      </c>
      <c r="K16" s="2"/>
      <c r="L16" s="46">
        <f>D16*0.3048</f>
        <v>30.48</v>
      </c>
      <c r="M16" s="46">
        <f>I16*0.3048</f>
        <v>0.9144000000000001</v>
      </c>
      <c r="N16" s="2"/>
      <c r="O16" s="2"/>
      <c r="P16" s="2"/>
      <c r="Q16" s="2"/>
      <c r="R16" s="2"/>
      <c r="S16" s="2"/>
      <c r="T16" s="2"/>
      <c r="U16" s="2"/>
      <c r="V16" s="2"/>
    </row>
    <row r="17" spans="1:22" x14ac:dyDescent="0.2">
      <c r="A17" s="2"/>
      <c r="B17" s="8"/>
      <c r="C17" s="9" t="s">
        <v>10</v>
      </c>
      <c r="D17" s="13">
        <v>0.5</v>
      </c>
      <c r="E17" s="11" t="s">
        <v>11</v>
      </c>
      <c r="F17" s="2"/>
      <c r="G17" s="8"/>
      <c r="H17" s="9" t="s">
        <v>12</v>
      </c>
      <c r="I17" s="13">
        <v>0.25</v>
      </c>
      <c r="J17" s="11" t="s">
        <v>13</v>
      </c>
      <c r="K17" s="2"/>
      <c r="L17" s="2"/>
      <c r="M17" s="2"/>
      <c r="N17" s="2"/>
      <c r="O17" s="2"/>
      <c r="P17" s="2"/>
      <c r="Q17" s="2"/>
      <c r="R17" s="2"/>
      <c r="S17" s="2"/>
      <c r="T17" s="2"/>
      <c r="U17" s="2"/>
      <c r="V17" s="2"/>
    </row>
    <row r="18" spans="1:22" x14ac:dyDescent="0.2">
      <c r="A18" s="2"/>
      <c r="B18" s="8"/>
      <c r="C18" s="8"/>
      <c r="D18" s="14">
        <f>10*LOG(D17*1000,10)</f>
        <v>26.989700043360184</v>
      </c>
      <c r="E18" s="11" t="s">
        <v>14</v>
      </c>
      <c r="F18" s="2"/>
      <c r="G18" s="8"/>
      <c r="H18" s="8"/>
      <c r="I18" s="14">
        <f>20*LOG(I17,10)-107</f>
        <v>-119.04119982655925</v>
      </c>
      <c r="J18" s="11" t="s">
        <v>14</v>
      </c>
      <c r="K18" s="2"/>
      <c r="L18" s="2"/>
      <c r="M18" s="2"/>
      <c r="N18" s="2"/>
      <c r="O18" s="2"/>
      <c r="P18" s="2"/>
      <c r="Q18" s="2"/>
      <c r="R18" s="2"/>
      <c r="S18" s="2"/>
      <c r="T18" s="2"/>
      <c r="U18" s="2"/>
      <c r="V18" s="2"/>
    </row>
    <row r="19" spans="1:22" ht="8.4499999999999993" customHeight="1" x14ac:dyDescent="0.2">
      <c r="A19" s="2"/>
      <c r="B19" s="8"/>
      <c r="C19" s="8"/>
      <c r="D19" s="8"/>
      <c r="E19" s="8"/>
      <c r="F19" s="2"/>
      <c r="G19" s="8"/>
      <c r="H19" s="8"/>
      <c r="I19" s="8"/>
      <c r="J19" s="8"/>
      <c r="K19" s="2"/>
      <c r="L19" s="2"/>
      <c r="M19" s="2"/>
      <c r="N19" s="2"/>
      <c r="O19" s="2"/>
      <c r="P19" s="2"/>
      <c r="Q19" s="2"/>
      <c r="R19" s="2"/>
      <c r="S19" s="2"/>
      <c r="T19" s="2"/>
      <c r="U19" s="2"/>
      <c r="V19" s="2"/>
    </row>
    <row r="20" spans="1:22" x14ac:dyDescent="0.2">
      <c r="A20" s="2"/>
      <c r="B20" s="51"/>
      <c r="C20" s="51"/>
      <c r="D20" s="51"/>
      <c r="E20" s="51"/>
      <c r="F20" s="51"/>
      <c r="G20" s="51"/>
      <c r="H20" s="51"/>
      <c r="I20" s="51"/>
      <c r="J20" s="51"/>
      <c r="K20" s="2"/>
      <c r="L20" s="2"/>
      <c r="M20" s="2"/>
      <c r="N20" s="2"/>
      <c r="O20" s="2"/>
      <c r="P20" s="2"/>
      <c r="Q20" s="2"/>
      <c r="R20" s="2"/>
      <c r="S20" s="2"/>
      <c r="T20" s="2"/>
      <c r="U20" s="2"/>
      <c r="V20" s="2"/>
    </row>
    <row r="21" spans="1:22" ht="15" x14ac:dyDescent="0.25">
      <c r="A21" s="2"/>
      <c r="B21" s="5" t="s">
        <v>16</v>
      </c>
      <c r="C21" s="6"/>
      <c r="D21" s="6"/>
      <c r="E21" s="6"/>
      <c r="F21" s="6"/>
      <c r="G21" s="6"/>
      <c r="H21" s="6"/>
      <c r="I21" s="6"/>
      <c r="J21" s="6"/>
      <c r="K21" s="2"/>
      <c r="L21" s="2"/>
      <c r="M21" s="2"/>
      <c r="N21" s="2"/>
      <c r="O21" s="2"/>
      <c r="P21" s="2"/>
      <c r="Q21" s="2"/>
      <c r="R21" s="2"/>
      <c r="S21" s="2"/>
      <c r="T21" s="2"/>
      <c r="U21" s="2"/>
      <c r="V21" s="2"/>
    </row>
    <row r="22" spans="1:22" ht="12.4" customHeight="1" x14ac:dyDescent="0.25">
      <c r="A22" s="2"/>
      <c r="B22" s="15"/>
      <c r="C22" s="11"/>
      <c r="D22" s="11"/>
      <c r="E22" s="11"/>
      <c r="F22" s="11"/>
      <c r="G22" s="11"/>
      <c r="H22" s="11"/>
      <c r="I22" s="11"/>
      <c r="J22" s="11"/>
      <c r="K22" s="2"/>
      <c r="L22" s="2"/>
      <c r="M22" s="2"/>
      <c r="N22" s="2"/>
      <c r="O22" s="2"/>
      <c r="P22" s="2"/>
      <c r="Q22" s="2"/>
      <c r="R22" s="2"/>
      <c r="S22" s="2"/>
      <c r="T22" s="2"/>
      <c r="U22" s="2"/>
      <c r="V22" s="2"/>
    </row>
    <row r="23" spans="1:22" x14ac:dyDescent="0.2">
      <c r="A23" s="2"/>
      <c r="B23" s="11"/>
      <c r="C23" s="9" t="s">
        <v>17</v>
      </c>
      <c r="D23" s="16">
        <v>145</v>
      </c>
      <c r="E23" s="17" t="s">
        <v>18</v>
      </c>
      <c r="F23" s="17"/>
      <c r="G23" s="17"/>
      <c r="H23" s="9" t="s">
        <v>19</v>
      </c>
      <c r="I23" s="18">
        <f>300000000/(D23*1000000)</f>
        <v>2.0689655172413794</v>
      </c>
      <c r="J23" s="11" t="s">
        <v>54</v>
      </c>
      <c r="K23" s="2"/>
      <c r="L23" s="2"/>
      <c r="M23" s="2"/>
      <c r="N23" s="2"/>
      <c r="O23" s="2"/>
      <c r="P23" s="2"/>
      <c r="Q23" s="2"/>
      <c r="R23" s="2"/>
      <c r="S23" s="2"/>
      <c r="T23" s="2"/>
      <c r="U23" s="2"/>
      <c r="V23" s="2"/>
    </row>
    <row r="24" spans="1:22" x14ac:dyDescent="0.2">
      <c r="A24" s="2"/>
      <c r="B24" s="11"/>
      <c r="C24" s="11"/>
      <c r="D24" s="19" t="str">
        <f>IF(D23&lt;40,"Frequency too low!",IF(D23&gt;1000,"Frequency too high!"," "))</f>
        <v xml:space="preserve"> </v>
      </c>
      <c r="E24" s="11"/>
      <c r="F24" s="11"/>
      <c r="G24" s="20"/>
      <c r="H24" s="20" t="s">
        <v>23</v>
      </c>
      <c r="I24" s="21">
        <f>I18-D18</f>
        <v>-146.03089986991944</v>
      </c>
      <c r="J24" s="11" t="s">
        <v>24</v>
      </c>
      <c r="K24" s="2"/>
      <c r="L24" s="2"/>
      <c r="M24" s="2"/>
      <c r="N24" s="2"/>
      <c r="O24" s="2"/>
      <c r="P24" s="2"/>
      <c r="Q24" s="2"/>
      <c r="R24" s="2"/>
      <c r="S24" s="2"/>
      <c r="T24" s="2"/>
      <c r="U24" s="2"/>
      <c r="V24" s="2"/>
    </row>
    <row r="25" spans="1:22" ht="9.4" customHeight="1" x14ac:dyDescent="0.2">
      <c r="A25" s="2"/>
      <c r="B25" s="11"/>
      <c r="C25" s="11"/>
      <c r="D25" s="11"/>
      <c r="E25" s="11"/>
      <c r="F25" s="11"/>
      <c r="G25" s="11"/>
      <c r="H25" s="11"/>
      <c r="I25" s="11"/>
      <c r="J25" s="11"/>
      <c r="K25" s="2"/>
      <c r="L25" s="2"/>
      <c r="M25" s="2"/>
      <c r="N25" s="2"/>
      <c r="O25" s="2"/>
      <c r="P25" s="2"/>
      <c r="Q25" s="2"/>
      <c r="R25" s="2"/>
      <c r="S25" s="2"/>
      <c r="T25" s="2"/>
      <c r="U25" s="2"/>
      <c r="V25" s="2"/>
    </row>
    <row r="26" spans="1:22" x14ac:dyDescent="0.2">
      <c r="A26" s="2"/>
      <c r="B26" s="2"/>
      <c r="C26" s="2"/>
      <c r="D26" s="2"/>
      <c r="E26" s="2"/>
      <c r="F26" s="2"/>
      <c r="G26" s="2"/>
      <c r="H26" s="2"/>
      <c r="I26" s="2"/>
      <c r="J26" s="2"/>
      <c r="K26" s="2"/>
      <c r="L26" s="2"/>
      <c r="M26" s="2"/>
      <c r="N26" s="2"/>
      <c r="O26" s="2"/>
      <c r="P26" s="2"/>
      <c r="Q26" s="2"/>
      <c r="R26" s="2"/>
      <c r="S26" s="2"/>
      <c r="T26" s="2"/>
      <c r="U26" s="2"/>
      <c r="V26" s="2"/>
    </row>
    <row r="27" spans="1:22" hidden="1" x14ac:dyDescent="0.2">
      <c r="A27" s="2"/>
      <c r="B27" s="3"/>
      <c r="C27" s="25" t="s">
        <v>55</v>
      </c>
      <c r="D27" s="26">
        <f>LOG(D23/100,10)*6 + 10.3</f>
        <v>11.268208013409851</v>
      </c>
      <c r="E27" s="24" t="s">
        <v>33</v>
      </c>
      <c r="F27" s="2" t="s">
        <v>56</v>
      </c>
      <c r="G27" s="3"/>
      <c r="H27" s="2"/>
      <c r="I27" s="2"/>
      <c r="J27" s="2"/>
      <c r="K27" s="2"/>
      <c r="L27" s="2"/>
      <c r="M27" s="2"/>
      <c r="N27" s="2"/>
      <c r="O27" s="2"/>
      <c r="P27" s="2"/>
      <c r="Q27" s="2"/>
      <c r="R27" s="2"/>
      <c r="S27" s="2"/>
      <c r="T27" s="2"/>
      <c r="U27" s="2"/>
      <c r="V27" s="2"/>
    </row>
    <row r="28" spans="1:22" ht="15" x14ac:dyDescent="0.25">
      <c r="A28" s="2"/>
      <c r="B28" s="5" t="s">
        <v>57</v>
      </c>
      <c r="C28" s="27"/>
      <c r="D28" s="27"/>
      <c r="E28" s="27"/>
      <c r="F28" s="27"/>
      <c r="G28" s="27"/>
      <c r="H28" s="27"/>
      <c r="I28" s="27"/>
      <c r="J28" s="27"/>
      <c r="K28" s="2"/>
      <c r="L28" s="2"/>
      <c r="M28" s="2"/>
      <c r="N28" s="2"/>
      <c r="O28" s="2"/>
      <c r="P28" s="2"/>
      <c r="Q28" s="2"/>
      <c r="R28" s="2"/>
      <c r="S28" s="2"/>
      <c r="T28" s="2"/>
      <c r="U28" s="2"/>
      <c r="V28" s="2"/>
    </row>
    <row r="29" spans="1:22" x14ac:dyDescent="0.2">
      <c r="A29" s="2"/>
      <c r="B29" s="8"/>
      <c r="C29" s="28"/>
      <c r="D29" s="28"/>
      <c r="E29" s="28"/>
      <c r="F29" s="28"/>
      <c r="G29" s="28"/>
      <c r="H29" s="28"/>
      <c r="I29" s="28"/>
      <c r="J29" s="8"/>
      <c r="K29" s="2"/>
      <c r="L29" s="3" t="s">
        <v>21</v>
      </c>
      <c r="M29" s="2"/>
      <c r="N29" s="2"/>
      <c r="O29" s="2"/>
      <c r="P29" s="2"/>
      <c r="Q29" s="2"/>
      <c r="R29" s="2"/>
      <c r="S29" s="2"/>
      <c r="T29" s="2"/>
      <c r="U29" s="2"/>
      <c r="V29" s="2"/>
    </row>
    <row r="30" spans="1:22" ht="12.95" customHeight="1" x14ac:dyDescent="0.2">
      <c r="A30" s="2"/>
      <c r="B30" s="56" t="s">
        <v>58</v>
      </c>
      <c r="C30" s="56"/>
      <c r="D30" s="29">
        <f>10^(  (20*LOG(L16*M16,10) + I15 +D15 - I24 + D27 + 20*LOG(40,10) - 20*LOG(D23,10) )/40  ) /1000 /1.609344</f>
        <v>10.441199561291398</v>
      </c>
      <c r="E30" s="30" t="s">
        <v>38</v>
      </c>
      <c r="F30" s="31" t="s">
        <v>39</v>
      </c>
      <c r="G30" s="9"/>
      <c r="H30" s="28"/>
      <c r="I30" s="32"/>
      <c r="J30" s="8"/>
      <c r="K30" s="2"/>
      <c r="L30" s="33">
        <f>D30*1.609344</f>
        <v>16.803481866766944</v>
      </c>
      <c r="M30" s="2"/>
      <c r="N30" s="2"/>
      <c r="O30" s="2"/>
      <c r="P30" s="2"/>
      <c r="Q30" s="2"/>
      <c r="R30" s="2"/>
      <c r="S30" s="2"/>
      <c r="T30" s="2"/>
      <c r="U30" s="2"/>
      <c r="V30" s="2"/>
    </row>
    <row r="31" spans="1:22" x14ac:dyDescent="0.2">
      <c r="A31" s="2"/>
      <c r="B31" s="56"/>
      <c r="C31" s="56"/>
      <c r="D31" s="57">
        <f>10^(  (20*LOG(L16*M16,10) + I15 +D15 - I24 + 20*LOG(40,10) - 20*LOG(D23,10) )/40  ) /1000 /1.6093444</f>
        <v>5.4581452426710246</v>
      </c>
      <c r="E31" s="58" t="s">
        <v>38</v>
      </c>
      <c r="F31" s="59" t="s">
        <v>40</v>
      </c>
      <c r="G31" s="61"/>
      <c r="H31" s="28"/>
      <c r="I31" s="47" t="str">
        <f>IF(D31&gt;30,"Attention!","")</f>
        <v/>
      </c>
      <c r="J31" s="8"/>
      <c r="K31" s="2"/>
      <c r="L31" s="33">
        <f>D31*1.609344</f>
        <v>8.7840332974211588</v>
      </c>
      <c r="M31" s="2"/>
      <c r="N31" s="2"/>
      <c r="O31" s="2"/>
      <c r="P31" s="2"/>
      <c r="Q31" s="2"/>
      <c r="R31" s="2"/>
      <c r="S31" s="2"/>
      <c r="T31" s="2"/>
      <c r="U31" s="2"/>
      <c r="V31" s="2"/>
    </row>
    <row r="32" spans="1:22" x14ac:dyDescent="0.2">
      <c r="A32" s="2"/>
      <c r="B32" s="56"/>
      <c r="C32" s="56"/>
      <c r="D32" s="29">
        <f>10^(  (20*LOG(L16*M16,10) + I15 +D15 - I24 - D27 + 20*LOG(40,10) - 20*LOG(D23,10) )/40  ) /1000 /1.609344</f>
        <v>2.8532511158706924</v>
      </c>
      <c r="E32" s="30" t="s">
        <v>38</v>
      </c>
      <c r="F32" s="31" t="s">
        <v>41</v>
      </c>
      <c r="G32" s="17"/>
      <c r="H32" s="28"/>
      <c r="I32" s="47"/>
      <c r="J32" s="8"/>
      <c r="K32" s="2"/>
      <c r="L32" s="33">
        <f>D32*1.609344</f>
        <v>4.5918625638198041</v>
      </c>
      <c r="M32" s="2"/>
      <c r="N32" s="2"/>
      <c r="O32" s="2"/>
      <c r="P32" s="2"/>
      <c r="Q32" s="2"/>
      <c r="R32" s="2"/>
      <c r="S32" s="2"/>
      <c r="T32" s="2"/>
      <c r="U32" s="2"/>
      <c r="V32" s="2"/>
    </row>
    <row r="33" spans="1:22" x14ac:dyDescent="0.2">
      <c r="A33" s="23"/>
      <c r="B33" s="37"/>
      <c r="C33" s="37"/>
      <c r="D33" s="37"/>
      <c r="E33" s="37"/>
      <c r="F33" s="37"/>
      <c r="G33" s="37"/>
      <c r="H33" s="37"/>
      <c r="I33" s="47" t="str">
        <f>IF(D31&gt;30,"Maximum prediction range is 30 miles!"," ")</f>
        <v xml:space="preserve"> </v>
      </c>
      <c r="J33" s="37"/>
      <c r="K33" s="23"/>
      <c r="L33" s="33"/>
      <c r="M33" s="23"/>
      <c r="N33" s="23"/>
      <c r="O33" s="23"/>
      <c r="P33" s="23"/>
      <c r="Q33" s="23"/>
      <c r="R33" s="23"/>
      <c r="S33" s="23"/>
      <c r="T33" s="23"/>
      <c r="U33" s="23"/>
      <c r="V33" s="23"/>
    </row>
    <row r="34" spans="1:22" x14ac:dyDescent="0.2">
      <c r="A34" s="23"/>
      <c r="B34" s="23"/>
      <c r="C34" s="23"/>
      <c r="D34" s="23"/>
      <c r="E34" s="23"/>
      <c r="F34" s="23"/>
      <c r="G34" s="23"/>
      <c r="H34" s="23"/>
      <c r="I34" s="23"/>
      <c r="J34" s="23"/>
      <c r="K34" s="23"/>
      <c r="L34" s="33"/>
      <c r="M34" s="23"/>
      <c r="N34" s="23"/>
      <c r="O34" s="23"/>
      <c r="P34" s="23"/>
      <c r="Q34" s="23"/>
      <c r="R34" s="23"/>
      <c r="S34" s="23"/>
      <c r="T34" s="23"/>
      <c r="U34" s="23"/>
      <c r="V34" s="23"/>
    </row>
    <row r="35" spans="1:22" ht="15" x14ac:dyDescent="0.25">
      <c r="A35" s="23"/>
      <c r="B35" s="5" t="s">
        <v>46</v>
      </c>
      <c r="C35" s="27"/>
      <c r="D35" s="27"/>
      <c r="E35" s="27"/>
      <c r="F35" s="27"/>
      <c r="G35" s="27"/>
      <c r="H35" s="27"/>
      <c r="I35" s="27"/>
      <c r="J35" s="27"/>
      <c r="K35" s="23"/>
      <c r="L35" s="33"/>
      <c r="M35" s="23"/>
      <c r="N35" s="23"/>
      <c r="O35" s="23"/>
      <c r="P35" s="23"/>
      <c r="Q35" s="23"/>
      <c r="R35" s="23"/>
      <c r="S35" s="23"/>
      <c r="T35" s="23"/>
      <c r="U35" s="23"/>
      <c r="V35" s="23"/>
    </row>
    <row r="36" spans="1:22" x14ac:dyDescent="0.2">
      <c r="A36" s="23"/>
      <c r="B36" s="8"/>
      <c r="C36" s="28"/>
      <c r="D36" s="28"/>
      <c r="E36" s="28"/>
      <c r="F36" s="28"/>
      <c r="G36" s="28"/>
      <c r="H36" s="28"/>
      <c r="I36" s="28"/>
      <c r="J36" s="8"/>
      <c r="K36" s="23"/>
      <c r="L36" s="33" t="s">
        <v>21</v>
      </c>
      <c r="M36" s="23"/>
      <c r="N36" s="23"/>
      <c r="O36" s="23"/>
      <c r="P36" s="23"/>
      <c r="Q36" s="23"/>
      <c r="R36" s="23"/>
      <c r="S36" s="23"/>
      <c r="T36" s="23"/>
      <c r="U36" s="23"/>
      <c r="V36" s="23"/>
    </row>
    <row r="37" spans="1:22" x14ac:dyDescent="0.2">
      <c r="A37" s="23"/>
      <c r="B37" s="11"/>
      <c r="C37" s="9" t="s">
        <v>47</v>
      </c>
      <c r="D37" s="42">
        <f xml:space="preserve"> 10^(  (20*LOG(L16*M16,10) + I15 + D15 - I24 )/40  ) /1000 /1.609344</f>
        <v>10.392001519673737</v>
      </c>
      <c r="E37" s="43" t="s">
        <v>38</v>
      </c>
      <c r="F37" s="11" t="s">
        <v>48</v>
      </c>
      <c r="G37" s="11"/>
      <c r="H37" s="28"/>
      <c r="I37" s="28"/>
      <c r="J37" s="8"/>
      <c r="K37" s="23"/>
      <c r="L37" s="33">
        <f>D37*1.609344</f>
        <v>16.724305293677812</v>
      </c>
      <c r="M37" s="23"/>
      <c r="N37" s="23"/>
      <c r="O37" s="23"/>
      <c r="P37" s="23"/>
      <c r="Q37" s="23"/>
      <c r="R37" s="23"/>
      <c r="S37" s="23"/>
      <c r="T37" s="23"/>
      <c r="U37" s="23"/>
      <c r="V37" s="23"/>
    </row>
    <row r="38" spans="1:22" x14ac:dyDescent="0.2">
      <c r="A38" s="23"/>
      <c r="B38" s="11"/>
      <c r="C38" s="9" t="s">
        <v>49</v>
      </c>
      <c r="D38" s="44">
        <f>10^( (20*LOG(I23,10) - 20*LOG(4*PI(),10) + D15 + I15 - I24) /20  ) /1000  /1.609344</f>
        <v>1026.6903894981451</v>
      </c>
      <c r="E38" s="43" t="s">
        <v>38</v>
      </c>
      <c r="F38" s="11" t="s">
        <v>50</v>
      </c>
      <c r="G38" s="11"/>
      <c r="H38" s="28"/>
      <c r="I38" s="28"/>
      <c r="J38" s="8"/>
      <c r="K38" s="23"/>
      <c r="L38" s="33">
        <f>D38*1.609344</f>
        <v>1652.2980181965029</v>
      </c>
      <c r="M38" s="23"/>
      <c r="N38" s="23"/>
      <c r="O38" s="23"/>
      <c r="P38" s="23"/>
      <c r="Q38" s="23"/>
      <c r="R38" s="23"/>
      <c r="S38" s="23"/>
      <c r="T38" s="23"/>
      <c r="U38" s="23"/>
      <c r="V38" s="23"/>
    </row>
    <row r="39" spans="1:22" x14ac:dyDescent="0.2">
      <c r="A39" s="23"/>
      <c r="B39" s="8"/>
      <c r="C39" s="8"/>
      <c r="D39" s="8"/>
      <c r="E39" s="8"/>
      <c r="F39" s="8"/>
      <c r="G39" s="8"/>
      <c r="H39" s="8"/>
      <c r="I39" s="8"/>
      <c r="J39" s="8"/>
      <c r="K39" s="23"/>
      <c r="L39" s="23"/>
      <c r="M39" s="23"/>
      <c r="N39" s="23"/>
      <c r="O39" s="23"/>
      <c r="P39" s="23"/>
      <c r="Q39" s="23"/>
      <c r="R39" s="23"/>
      <c r="S39" s="23"/>
      <c r="T39" s="23"/>
      <c r="U39" s="23"/>
      <c r="V39" s="23"/>
    </row>
    <row r="40" spans="1:22" x14ac:dyDescent="0.2">
      <c r="A40" s="23"/>
      <c r="B40" s="23"/>
      <c r="C40" s="23"/>
      <c r="D40" s="23"/>
      <c r="E40" s="23"/>
      <c r="F40" s="23"/>
      <c r="G40" s="23"/>
      <c r="H40" s="23"/>
      <c r="I40" s="23"/>
      <c r="J40" s="23"/>
      <c r="K40" s="23"/>
      <c r="L40" s="23"/>
      <c r="M40" s="23"/>
      <c r="N40" s="23"/>
      <c r="O40" s="23"/>
      <c r="P40" s="23"/>
      <c r="Q40" s="23"/>
      <c r="R40" s="23"/>
      <c r="S40" s="23"/>
      <c r="T40" s="23"/>
      <c r="U40" s="23"/>
      <c r="V40" s="23"/>
    </row>
    <row r="41" spans="1:22" x14ac:dyDescent="0.2">
      <c r="A41" s="23"/>
      <c r="B41" s="23"/>
      <c r="C41" s="23"/>
      <c r="D41" s="23"/>
      <c r="E41" s="23"/>
      <c r="F41" s="23"/>
      <c r="G41" s="23"/>
      <c r="H41" s="23"/>
      <c r="I41" s="23"/>
      <c r="J41" s="23"/>
      <c r="K41" s="23"/>
      <c r="L41" s="23"/>
      <c r="M41" s="23"/>
      <c r="N41" s="23"/>
      <c r="O41" s="23"/>
      <c r="P41" s="23"/>
      <c r="Q41" s="23"/>
      <c r="R41" s="23"/>
      <c r="S41" s="23"/>
      <c r="T41" s="23"/>
      <c r="U41" s="23"/>
      <c r="V41" s="23"/>
    </row>
    <row r="42" spans="1:22" ht="82.5" customHeight="1" x14ac:dyDescent="0.2">
      <c r="A42" s="23"/>
      <c r="B42" s="55" t="s">
        <v>59</v>
      </c>
      <c r="C42" s="55"/>
      <c r="D42" s="55"/>
      <c r="E42" s="55"/>
      <c r="F42" s="55"/>
      <c r="G42" s="55"/>
      <c r="H42" s="55"/>
      <c r="I42" s="55"/>
      <c r="J42" s="55"/>
      <c r="K42" s="23"/>
      <c r="L42" s="23"/>
      <c r="M42" s="23"/>
      <c r="N42" s="23"/>
      <c r="O42" s="23"/>
      <c r="P42" s="23"/>
      <c r="Q42" s="23"/>
      <c r="R42" s="23"/>
      <c r="S42" s="23"/>
      <c r="T42" s="23"/>
      <c r="U42" s="23"/>
      <c r="V42" s="23"/>
    </row>
    <row r="43" spans="1:22" ht="103.5" customHeight="1" x14ac:dyDescent="0.2">
      <c r="A43" s="23"/>
      <c r="B43" s="23"/>
      <c r="C43" s="23"/>
      <c r="D43" s="23"/>
      <c r="E43" s="23"/>
      <c r="F43" s="23"/>
      <c r="G43" s="23"/>
      <c r="H43" s="23"/>
      <c r="I43" s="23"/>
      <c r="J43" s="23"/>
      <c r="K43" s="23"/>
      <c r="L43" s="23"/>
      <c r="M43" s="23"/>
      <c r="N43" s="23"/>
      <c r="O43" s="23"/>
      <c r="P43" s="23"/>
      <c r="Q43" s="23"/>
      <c r="R43" s="23"/>
      <c r="S43" s="23"/>
      <c r="T43" s="23"/>
      <c r="U43" s="23"/>
      <c r="V43" s="23"/>
    </row>
    <row r="44" spans="1:22" ht="103.5" customHeight="1" x14ac:dyDescent="0.2">
      <c r="A44" s="23"/>
      <c r="B44" s="23"/>
      <c r="C44" s="23"/>
      <c r="D44" s="23"/>
      <c r="E44" s="23"/>
      <c r="F44" s="23"/>
      <c r="G44" s="23"/>
      <c r="H44" s="23"/>
      <c r="I44" s="23"/>
      <c r="J44" s="23"/>
      <c r="K44" s="23"/>
      <c r="L44" s="23"/>
      <c r="M44" s="23"/>
      <c r="N44" s="23"/>
      <c r="O44" s="23"/>
      <c r="P44" s="23"/>
      <c r="Q44" s="23"/>
      <c r="R44" s="23"/>
      <c r="S44" s="23"/>
      <c r="T44" s="23"/>
      <c r="U44" s="23"/>
      <c r="V44" s="23"/>
    </row>
    <row r="45" spans="1:22" ht="103.5" customHeight="1" x14ac:dyDescent="0.2">
      <c r="A45" s="23"/>
      <c r="B45" s="23"/>
      <c r="C45" s="23"/>
      <c r="D45" s="23"/>
      <c r="E45" s="23"/>
      <c r="F45" s="23"/>
      <c r="G45" s="23"/>
      <c r="H45" s="23"/>
      <c r="I45" s="23"/>
      <c r="J45" s="23"/>
      <c r="K45" s="23"/>
      <c r="L45" s="23"/>
      <c r="M45" s="23"/>
      <c r="N45" s="23"/>
      <c r="O45" s="23"/>
      <c r="P45" s="23"/>
      <c r="Q45" s="23"/>
      <c r="R45" s="23"/>
      <c r="S45" s="23"/>
      <c r="T45" s="23"/>
      <c r="U45" s="23"/>
      <c r="V45" s="23"/>
    </row>
    <row r="46" spans="1:22" ht="103.5" customHeight="1" x14ac:dyDescent="0.2">
      <c r="A46" s="23"/>
      <c r="B46" s="23"/>
      <c r="C46" s="23"/>
      <c r="D46" s="23"/>
      <c r="E46" s="23"/>
      <c r="F46" s="23"/>
      <c r="G46" s="23"/>
      <c r="H46" s="23"/>
      <c r="I46" s="23"/>
      <c r="J46" s="23"/>
      <c r="K46" s="23"/>
      <c r="L46" s="23"/>
      <c r="M46" s="23"/>
      <c r="N46" s="23"/>
      <c r="O46" s="23"/>
      <c r="P46" s="23"/>
      <c r="Q46" s="23"/>
      <c r="R46" s="23"/>
      <c r="S46" s="23"/>
      <c r="T46" s="23"/>
      <c r="U46" s="23"/>
      <c r="V46" s="23"/>
    </row>
    <row r="47" spans="1:22" ht="103.5" customHeight="1" x14ac:dyDescent="0.2">
      <c r="A47" s="23"/>
      <c r="B47" s="23"/>
      <c r="C47" s="23"/>
      <c r="D47" s="23"/>
      <c r="E47" s="23"/>
      <c r="F47" s="23"/>
      <c r="G47" s="23"/>
      <c r="H47" s="23"/>
      <c r="I47" s="23"/>
      <c r="J47" s="23"/>
      <c r="K47" s="23"/>
      <c r="L47" s="23"/>
      <c r="M47" s="23"/>
      <c r="N47" s="23"/>
      <c r="O47" s="23"/>
      <c r="P47" s="23"/>
      <c r="Q47" s="23"/>
      <c r="R47" s="23"/>
      <c r="S47" s="23"/>
      <c r="T47" s="23"/>
      <c r="U47" s="23"/>
      <c r="V47" s="23"/>
    </row>
    <row r="48" spans="1:22" ht="103.5" customHeight="1" x14ac:dyDescent="0.2">
      <c r="A48" s="23"/>
      <c r="B48" s="23"/>
      <c r="C48" s="23"/>
      <c r="D48" s="23"/>
      <c r="E48" s="23"/>
      <c r="F48" s="23"/>
      <c r="G48" s="23"/>
      <c r="H48" s="23"/>
      <c r="I48" s="23"/>
      <c r="J48" s="23"/>
      <c r="K48" s="23"/>
      <c r="L48" s="23"/>
      <c r="M48" s="23"/>
      <c r="N48" s="23"/>
      <c r="O48" s="23"/>
      <c r="P48" s="23"/>
      <c r="Q48" s="23"/>
      <c r="R48" s="23"/>
      <c r="S48" s="23"/>
      <c r="T48" s="23"/>
      <c r="U48" s="23"/>
      <c r="V48" s="23"/>
    </row>
    <row r="49" spans="1:22" ht="103.5" customHeight="1" x14ac:dyDescent="0.2">
      <c r="A49" s="23"/>
      <c r="B49" s="23"/>
      <c r="C49" s="23"/>
      <c r="D49" s="23"/>
      <c r="E49" s="23"/>
      <c r="F49" s="23"/>
      <c r="G49" s="23"/>
      <c r="H49" s="23"/>
      <c r="I49" s="23"/>
      <c r="J49" s="23"/>
      <c r="K49" s="23"/>
      <c r="L49" s="23"/>
      <c r="M49" s="23"/>
      <c r="N49" s="23"/>
      <c r="O49" s="23"/>
      <c r="P49" s="23"/>
      <c r="Q49" s="23"/>
      <c r="R49" s="23"/>
      <c r="S49" s="23"/>
      <c r="T49" s="23"/>
      <c r="U49" s="23"/>
      <c r="V49" s="23"/>
    </row>
    <row r="50" spans="1:22" ht="103.5" customHeight="1" x14ac:dyDescent="0.2">
      <c r="A50" s="23"/>
      <c r="B50" s="23"/>
      <c r="C50" s="23"/>
      <c r="D50" s="23"/>
      <c r="E50" s="23"/>
      <c r="F50" s="23"/>
      <c r="G50" s="23"/>
      <c r="H50" s="23"/>
      <c r="I50" s="23"/>
      <c r="J50" s="23"/>
      <c r="K50" s="23"/>
      <c r="L50" s="23"/>
      <c r="M50" s="23"/>
      <c r="N50" s="23"/>
      <c r="O50" s="23"/>
      <c r="P50" s="23"/>
      <c r="Q50" s="23"/>
      <c r="R50" s="23"/>
      <c r="S50" s="23"/>
      <c r="T50" s="23"/>
      <c r="U50" s="23"/>
      <c r="V50" s="23"/>
    </row>
    <row r="51" spans="1:22" ht="103.5" customHeight="1" x14ac:dyDescent="0.2">
      <c r="A51" s="23"/>
      <c r="B51" s="23"/>
      <c r="C51" s="23"/>
      <c r="D51" s="23"/>
      <c r="E51" s="23"/>
      <c r="F51" s="23"/>
      <c r="G51" s="23"/>
      <c r="H51" s="23"/>
      <c r="I51" s="23"/>
      <c r="J51" s="23"/>
      <c r="K51" s="23"/>
      <c r="L51" s="23"/>
      <c r="M51" s="23"/>
      <c r="N51" s="23"/>
      <c r="O51" s="23"/>
      <c r="P51" s="23"/>
      <c r="Q51" s="23"/>
      <c r="R51" s="23"/>
      <c r="S51" s="23"/>
      <c r="T51" s="23"/>
      <c r="U51" s="23"/>
      <c r="V51" s="23"/>
    </row>
    <row r="52" spans="1:22" ht="103.5" customHeight="1" x14ac:dyDescent="0.2">
      <c r="A52" s="23"/>
      <c r="B52" s="23"/>
      <c r="C52" s="23"/>
      <c r="D52" s="23"/>
      <c r="E52" s="23"/>
      <c r="F52" s="23"/>
      <c r="G52" s="23"/>
      <c r="H52" s="23"/>
      <c r="I52" s="23"/>
      <c r="J52" s="23"/>
      <c r="K52" s="23"/>
      <c r="L52" s="23"/>
      <c r="M52" s="23"/>
      <c r="N52" s="23"/>
      <c r="O52" s="23"/>
      <c r="P52" s="23"/>
      <c r="Q52" s="23"/>
      <c r="R52" s="23"/>
      <c r="S52" s="23"/>
      <c r="T52" s="23"/>
      <c r="U52" s="23"/>
      <c r="V52" s="23"/>
    </row>
    <row r="53" spans="1:22" ht="103.5" customHeight="1" x14ac:dyDescent="0.2">
      <c r="A53" s="23"/>
      <c r="B53" s="23"/>
      <c r="C53" s="23"/>
      <c r="D53" s="23"/>
      <c r="E53" s="23"/>
      <c r="F53" s="23"/>
      <c r="G53" s="23"/>
      <c r="H53" s="23"/>
      <c r="I53" s="23"/>
      <c r="J53" s="23"/>
      <c r="K53" s="23"/>
      <c r="L53" s="23"/>
      <c r="M53" s="23"/>
      <c r="N53" s="23"/>
      <c r="O53" s="23"/>
      <c r="P53" s="23"/>
      <c r="Q53" s="23"/>
      <c r="R53" s="23"/>
      <c r="S53" s="23"/>
      <c r="T53" s="23"/>
      <c r="U53" s="23"/>
      <c r="V53" s="23"/>
    </row>
    <row r="54" spans="1:22" ht="103.5" customHeight="1" x14ac:dyDescent="0.2">
      <c r="A54" s="23"/>
      <c r="B54" s="23"/>
      <c r="C54" s="23"/>
      <c r="D54" s="23"/>
      <c r="E54" s="23"/>
      <c r="F54" s="23"/>
      <c r="G54" s="23"/>
      <c r="H54" s="23"/>
      <c r="I54" s="23"/>
      <c r="J54" s="23"/>
      <c r="K54" s="23"/>
      <c r="L54" s="23"/>
      <c r="M54" s="23"/>
      <c r="N54" s="23"/>
      <c r="O54" s="23"/>
      <c r="P54" s="23"/>
      <c r="Q54" s="23"/>
      <c r="R54" s="23"/>
      <c r="S54" s="23"/>
      <c r="T54" s="23"/>
      <c r="U54" s="23"/>
      <c r="V54" s="23"/>
    </row>
    <row r="55" spans="1:22" ht="103.5" customHeight="1" x14ac:dyDescent="0.2">
      <c r="A55" s="23"/>
      <c r="B55" s="23"/>
      <c r="C55" s="23"/>
      <c r="D55" s="23"/>
      <c r="E55" s="23"/>
      <c r="F55" s="23"/>
      <c r="G55" s="23"/>
      <c r="H55" s="23"/>
      <c r="I55" s="23"/>
      <c r="J55" s="23"/>
      <c r="K55" s="23"/>
      <c r="L55" s="23"/>
      <c r="M55" s="23"/>
      <c r="N55" s="23"/>
      <c r="O55" s="23"/>
      <c r="P55" s="23"/>
      <c r="Q55" s="23"/>
      <c r="R55" s="23"/>
      <c r="S55" s="23"/>
      <c r="T55" s="23"/>
      <c r="U55" s="23"/>
      <c r="V55" s="23"/>
    </row>
  </sheetData>
  <sheetProtection sheet="1" objects="1" scenarios="1" selectLockedCells="1"/>
  <mergeCells count="5">
    <mergeCell ref="B3:J10"/>
    <mergeCell ref="B11:J11"/>
    <mergeCell ref="B20:J20"/>
    <mergeCell ref="B30:C32"/>
    <mergeCell ref="B42:J42"/>
  </mergeCells>
  <conditionalFormatting sqref="D23">
    <cfRule type="cellIs" dxfId="0" priority="1" stopIfTrue="1" operator="notBetween">
      <formula>140</formula>
      <formula>1500</formula>
    </cfRule>
  </conditionalFormatting>
  <pageMargins left="0.78749999999999998" right="0.78749999999999998" top="1.0249999999999999" bottom="1.0249999999999999" header="0.78749999999999998" footer="0.78749999999999998"/>
  <pageSetup paperSize="9" orientation="portrait" horizontalDpi="300" verticalDpi="300"/>
  <headerFooter alignWithMargins="0">
    <oddHeader>&amp;C&amp;A</oddHeader>
    <oddFooter>&amp;CSeite &amp;P</oddFooter>
  </headerFooter>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Okumura_Hata</vt:lpstr>
      <vt:lpstr>Egli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Volle Christian 8GE7</dc:creator>
  <cp:lastModifiedBy>Volle Christian 8GE7</cp:lastModifiedBy>
  <dcterms:created xsi:type="dcterms:W3CDTF">2017-07-11T06:57:01Z</dcterms:created>
  <dcterms:modified xsi:type="dcterms:W3CDTF">2017-07-11T07:01:04Z</dcterms:modified>
</cp:coreProperties>
</file>